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9.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0.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maryp\Downloads\"/>
    </mc:Choice>
  </mc:AlternateContent>
  <xr:revisionPtr revIDLastSave="0" documentId="13_ncr:1_{3590E0CE-E08A-4991-8424-6A50B62143ED}" xr6:coauthVersionLast="47" xr6:coauthVersionMax="47" xr10:uidLastSave="{00000000-0000-0000-0000-000000000000}"/>
  <bookViews>
    <workbookView xWindow="-110" yWindow="-110" windowWidth="19420" windowHeight="11020" firstSheet="16" activeTab="17" xr2:uid="{F1E5599D-F05E-40F4-BE24-B0CCA4146CB8}"/>
  </bookViews>
  <sheets>
    <sheet name="Makuuchi Scatterplot Jan 2022" sheetId="4" state="hidden" r:id="rId1"/>
    <sheet name="BMI Histogram" sheetId="5" state="hidden" r:id="rId2"/>
    <sheet name="Makuuchi Sept 2022" sheetId="13" state="hidden" r:id="rId3"/>
    <sheet name="Makuuchi Nov 2022" sheetId="15" state="hidden" r:id="rId4"/>
    <sheet name="Makuuchi Nov 2022 DISPLAY" sheetId="16" state="hidden" r:id="rId5"/>
    <sheet name="September 2022 Data" sheetId="11" state="hidden" r:id="rId6"/>
    <sheet name="Makuuchi Jan 2023" sheetId="22" state="hidden" r:id="rId7"/>
    <sheet name="Weight change Nov 22 - Jan 23" sheetId="21" state="hidden" r:id="rId8"/>
    <sheet name="Makuuchi March 2023" sheetId="27" state="hidden" r:id="rId9"/>
    <sheet name="January 2023 Data" sheetId="17" state="hidden" r:id="rId10"/>
    <sheet name="November 2022 Data" sheetId="14" state="hidden" r:id="rId11"/>
    <sheet name="rank lookup" sheetId="12" state="hidden" r:id="rId12"/>
    <sheet name="Jan 2022 Data" sheetId="1" state="hidden" r:id="rId13"/>
    <sheet name="Jan 2022 Graph Prep" sheetId="6" state="hidden" r:id="rId14"/>
    <sheet name="Original Graph Dec 24 2021" sheetId="2" state="hidden" r:id="rId15"/>
    <sheet name="Makuuchi May 2023" sheetId="31" state="hidden" r:id="rId16"/>
    <sheet name="May 2023 Data" sheetId="30" r:id="rId17"/>
    <sheet name="March 2023 Data" sheetId="26" r:id="rId18"/>
    <sheet name="Makuuchi July 2023" sheetId="33" r:id="rId19"/>
    <sheet name="July 2023 Data" sheetId="32" r:id="rId20"/>
    <sheet name="Documentation Information" sheetId="3" r:id="rId21"/>
  </sheets>
  <externalReferences>
    <externalReference r:id="rId22"/>
  </externalReferences>
  <definedNames>
    <definedName name="_xlnm._FilterDatabase" localSheetId="9" hidden="1">'January 2023 Data'!$A$3:$O$38</definedName>
    <definedName name="_xlnm._FilterDatabase" localSheetId="19" hidden="1">'July 2023 Data'!$A$3:$R$55</definedName>
    <definedName name="_xlnm._FilterDatabase" localSheetId="17" hidden="1">'March 2023 Data'!$A$3:$P$38</definedName>
    <definedName name="_xlnm._FilterDatabase" localSheetId="16" hidden="1">'May 2023 Data'!$A$3:$R$55</definedName>
    <definedName name="_xlnm._FilterDatabase" localSheetId="10" hidden="1">'November 2022 Data'!$A$3:$N$38</definedName>
    <definedName name="_xlnm._FilterDatabase" localSheetId="5" hidden="1">'September 2022 Data'!$A$3:$L$38</definedName>
    <definedName name="_xlchart.v1.0"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12" hidden="1">1</definedName>
    <definedName name="solver_eng" localSheetId="13" hidden="1">1</definedName>
    <definedName name="solver_eng" localSheetId="9" hidden="1">1</definedName>
    <definedName name="solver_eng" localSheetId="19" hidden="1">1</definedName>
    <definedName name="solver_eng" localSheetId="17" hidden="1">1</definedName>
    <definedName name="solver_eng" localSheetId="16" hidden="1">1</definedName>
    <definedName name="solver_eng" localSheetId="10" hidden="1">1</definedName>
    <definedName name="solver_eng" localSheetId="5" hidden="1">1</definedName>
    <definedName name="solver_neg" localSheetId="12" hidden="1">1</definedName>
    <definedName name="solver_neg" localSheetId="13" hidden="1">1</definedName>
    <definedName name="solver_neg" localSheetId="9" hidden="1">1</definedName>
    <definedName name="solver_neg" localSheetId="19" hidden="1">1</definedName>
    <definedName name="solver_neg" localSheetId="17" hidden="1">1</definedName>
    <definedName name="solver_neg" localSheetId="16" hidden="1">1</definedName>
    <definedName name="solver_neg" localSheetId="10" hidden="1">1</definedName>
    <definedName name="solver_neg" localSheetId="5" hidden="1">1</definedName>
    <definedName name="solver_num" localSheetId="12" hidden="1">0</definedName>
    <definedName name="solver_num" localSheetId="13" hidden="1">0</definedName>
    <definedName name="solver_num" localSheetId="9" hidden="1">0</definedName>
    <definedName name="solver_num" localSheetId="19" hidden="1">0</definedName>
    <definedName name="solver_num" localSheetId="17" hidden="1">0</definedName>
    <definedName name="solver_num" localSheetId="16" hidden="1">0</definedName>
    <definedName name="solver_num" localSheetId="10" hidden="1">0</definedName>
    <definedName name="solver_num" localSheetId="5" hidden="1">0</definedName>
    <definedName name="solver_opt" localSheetId="12" hidden="1">'Jan 2022 Data'!$D$2</definedName>
    <definedName name="solver_opt" localSheetId="13" hidden="1">'Jan 2022 Graph Prep'!$D$2</definedName>
    <definedName name="solver_opt" localSheetId="9" hidden="1">'January 2023 Data'!$H$3</definedName>
    <definedName name="solver_opt" localSheetId="19" hidden="1">'July 2023 Data'!$K$3</definedName>
    <definedName name="solver_opt" localSheetId="17" hidden="1">'March 2023 Data'!$I$3</definedName>
    <definedName name="solver_opt" localSheetId="16" hidden="1">'May 2023 Data'!$K$3</definedName>
    <definedName name="solver_opt" localSheetId="10" hidden="1">'November 2022 Data'!$G$3</definedName>
    <definedName name="solver_opt" localSheetId="5" hidden="1">'September 2022 Data'!$E$3</definedName>
    <definedName name="solver_typ" localSheetId="12" hidden="1">1</definedName>
    <definedName name="solver_typ" localSheetId="13" hidden="1">1</definedName>
    <definedName name="solver_typ" localSheetId="9" hidden="1">1</definedName>
    <definedName name="solver_typ" localSheetId="19" hidden="1">1</definedName>
    <definedName name="solver_typ" localSheetId="17" hidden="1">1</definedName>
    <definedName name="solver_typ" localSheetId="16" hidden="1">1</definedName>
    <definedName name="solver_typ" localSheetId="10" hidden="1">1</definedName>
    <definedName name="solver_typ" localSheetId="5" hidden="1">1</definedName>
    <definedName name="solver_val" localSheetId="12" hidden="1">0</definedName>
    <definedName name="solver_val" localSheetId="13" hidden="1">0</definedName>
    <definedName name="solver_val" localSheetId="9" hidden="1">0</definedName>
    <definedName name="solver_val" localSheetId="19" hidden="1">0</definedName>
    <definedName name="solver_val" localSheetId="17" hidden="1">0</definedName>
    <definedName name="solver_val" localSheetId="16" hidden="1">0</definedName>
    <definedName name="solver_val" localSheetId="10" hidden="1">0</definedName>
    <definedName name="solver_val" localSheetId="5" hidden="1">0</definedName>
    <definedName name="solver_ver" localSheetId="12" hidden="1">3</definedName>
    <definedName name="solver_ver" localSheetId="13" hidden="1">3</definedName>
    <definedName name="solver_ver" localSheetId="9" hidden="1">3</definedName>
    <definedName name="solver_ver" localSheetId="19" hidden="1">3</definedName>
    <definedName name="solver_ver" localSheetId="17" hidden="1">3</definedName>
    <definedName name="solver_ver" localSheetId="16" hidden="1">3</definedName>
    <definedName name="solver_ver" localSheetId="10" hidden="1">3</definedName>
    <definedName name="solver_ver" localSheetId="5"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7" i="32" l="1"/>
  <c r="R37" i="32"/>
  <c r="N37" i="32"/>
  <c r="O37" i="32" s="1"/>
  <c r="M39" i="32"/>
  <c r="R39" i="32"/>
  <c r="N39" i="32"/>
  <c r="O39" i="32" s="1"/>
  <c r="M45" i="32"/>
  <c r="R45" i="32"/>
  <c r="N45" i="32"/>
  <c r="O45" i="32" s="1"/>
  <c r="R57" i="32"/>
  <c r="N57" i="32"/>
  <c r="M57" i="32"/>
  <c r="I57" i="32"/>
  <c r="R56" i="32"/>
  <c r="N56" i="32"/>
  <c r="M56" i="32"/>
  <c r="I56" i="32"/>
  <c r="R55" i="32"/>
  <c r="N55" i="32"/>
  <c r="M55" i="32"/>
  <c r="I55" i="32"/>
  <c r="R54" i="32"/>
  <c r="N54" i="32"/>
  <c r="M54" i="32"/>
  <c r="I54" i="32"/>
  <c r="R53" i="32"/>
  <c r="N53" i="32"/>
  <c r="M53" i="32"/>
  <c r="I53" i="32"/>
  <c r="R52" i="32"/>
  <c r="N52" i="32"/>
  <c r="O52" i="32" s="1"/>
  <c r="M52" i="32"/>
  <c r="I52" i="32"/>
  <c r="R51" i="32"/>
  <c r="N51" i="32"/>
  <c r="M51" i="32"/>
  <c r="I51" i="32"/>
  <c r="R50" i="32"/>
  <c r="N50" i="32"/>
  <c r="M50" i="32"/>
  <c r="I50" i="32"/>
  <c r="R49" i="32"/>
  <c r="N49" i="32"/>
  <c r="M49" i="32"/>
  <c r="I49" i="32"/>
  <c r="R48" i="32"/>
  <c r="N48" i="32"/>
  <c r="O48" i="32" s="1"/>
  <c r="M48" i="32"/>
  <c r="I48" i="32"/>
  <c r="R47" i="32"/>
  <c r="N47" i="32"/>
  <c r="M47" i="32"/>
  <c r="I47" i="32"/>
  <c r="R46" i="32"/>
  <c r="N46" i="32"/>
  <c r="M46" i="32"/>
  <c r="I46" i="32"/>
  <c r="T45" i="32"/>
  <c r="S45" i="32"/>
  <c r="I45" i="32"/>
  <c r="T44" i="32"/>
  <c r="S44" i="32"/>
  <c r="R44" i="32"/>
  <c r="N44" i="32"/>
  <c r="O44" i="32" s="1"/>
  <c r="M44" i="32"/>
  <c r="I44" i="32"/>
  <c r="T43" i="32"/>
  <c r="S43" i="32"/>
  <c r="R43" i="32"/>
  <c r="N43" i="32"/>
  <c r="M43" i="32"/>
  <c r="I43" i="32"/>
  <c r="T42" i="32"/>
  <c r="S42" i="32"/>
  <c r="R42" i="32"/>
  <c r="N42" i="32"/>
  <c r="M42" i="32"/>
  <c r="I42" i="32"/>
  <c r="T41" i="32"/>
  <c r="S41" i="32"/>
  <c r="R41" i="32"/>
  <c r="N41" i="32"/>
  <c r="O41" i="32" s="1"/>
  <c r="P41" i="32" s="1"/>
  <c r="M41" i="32"/>
  <c r="I41" i="32"/>
  <c r="T40" i="32"/>
  <c r="S40" i="32"/>
  <c r="R40" i="32"/>
  <c r="N40" i="32"/>
  <c r="O40" i="32" s="1"/>
  <c r="M40" i="32"/>
  <c r="I40" i="32"/>
  <c r="T39" i="32"/>
  <c r="S39" i="32"/>
  <c r="I39" i="32"/>
  <c r="T38" i="32"/>
  <c r="S38" i="32"/>
  <c r="R38" i="32"/>
  <c r="N38" i="32"/>
  <c r="O38" i="32" s="1"/>
  <c r="M38" i="32"/>
  <c r="I38" i="32"/>
  <c r="T37" i="32"/>
  <c r="S37" i="32"/>
  <c r="I37" i="32"/>
  <c r="T36" i="32"/>
  <c r="S36" i="32"/>
  <c r="R36" i="32"/>
  <c r="N36" i="32"/>
  <c r="O36" i="32" s="1"/>
  <c r="M36" i="32"/>
  <c r="I36" i="32"/>
  <c r="T35" i="32"/>
  <c r="S35" i="32"/>
  <c r="R35" i="32"/>
  <c r="N35" i="32"/>
  <c r="M35" i="32"/>
  <c r="I35" i="32"/>
  <c r="T34" i="32"/>
  <c r="S34" i="32"/>
  <c r="R34" i="32"/>
  <c r="N34" i="32"/>
  <c r="M34" i="32"/>
  <c r="I34" i="32"/>
  <c r="T33" i="32"/>
  <c r="S33" i="32"/>
  <c r="R33" i="32"/>
  <c r="N33" i="32"/>
  <c r="O33" i="32" s="1"/>
  <c r="M33" i="32"/>
  <c r="I33" i="32"/>
  <c r="T32" i="32"/>
  <c r="S32" i="32"/>
  <c r="R32" i="32"/>
  <c r="N32" i="32"/>
  <c r="O32" i="32" s="1"/>
  <c r="M32" i="32"/>
  <c r="I32" i="32"/>
  <c r="T31" i="32"/>
  <c r="S31" i="32"/>
  <c r="R31" i="32"/>
  <c r="N31" i="32"/>
  <c r="M31" i="32"/>
  <c r="I31" i="32"/>
  <c r="T30" i="32"/>
  <c r="S30" i="32"/>
  <c r="R30" i="32"/>
  <c r="N30" i="32"/>
  <c r="M30" i="32"/>
  <c r="I30" i="32"/>
  <c r="T29" i="32"/>
  <c r="S29" i="32"/>
  <c r="R29" i="32"/>
  <c r="N29" i="32"/>
  <c r="O29" i="32" s="1"/>
  <c r="M29" i="32"/>
  <c r="I29" i="32"/>
  <c r="T28" i="32"/>
  <c r="S28" i="32"/>
  <c r="R28" i="32"/>
  <c r="N28" i="32"/>
  <c r="O28" i="32" s="1"/>
  <c r="M28" i="32"/>
  <c r="I28" i="32"/>
  <c r="T27" i="32"/>
  <c r="S27" i="32"/>
  <c r="R27" i="32"/>
  <c r="N27" i="32"/>
  <c r="M27" i="32"/>
  <c r="I27" i="32"/>
  <c r="T26" i="32"/>
  <c r="S26" i="32"/>
  <c r="R26" i="32"/>
  <c r="N26" i="32"/>
  <c r="M26" i="32"/>
  <c r="I26" i="32"/>
  <c r="T25" i="32"/>
  <c r="S25" i="32"/>
  <c r="R25" i="32"/>
  <c r="N25" i="32"/>
  <c r="O25" i="32" s="1"/>
  <c r="M25" i="32"/>
  <c r="I25" i="32"/>
  <c r="T24" i="32"/>
  <c r="S24" i="32"/>
  <c r="R24" i="32"/>
  <c r="N24" i="32"/>
  <c r="M24" i="32"/>
  <c r="I24" i="32"/>
  <c r="T23" i="32"/>
  <c r="S23" i="32"/>
  <c r="R23" i="32"/>
  <c r="N23" i="32"/>
  <c r="M23" i="32"/>
  <c r="I23" i="32"/>
  <c r="T22" i="32"/>
  <c r="S22" i="32"/>
  <c r="R22" i="32"/>
  <c r="N22" i="32"/>
  <c r="M22" i="32"/>
  <c r="I22" i="32"/>
  <c r="T21" i="32"/>
  <c r="S21" i="32"/>
  <c r="R21" i="32"/>
  <c r="N21" i="32"/>
  <c r="O21" i="32" s="1"/>
  <c r="M21" i="32"/>
  <c r="I21" i="32"/>
  <c r="T20" i="32"/>
  <c r="S20" i="32"/>
  <c r="R20" i="32"/>
  <c r="N20" i="32"/>
  <c r="O20" i="32" s="1"/>
  <c r="M20" i="32"/>
  <c r="I20" i="32"/>
  <c r="T19" i="32"/>
  <c r="S19" i="32"/>
  <c r="R19" i="32"/>
  <c r="N19" i="32"/>
  <c r="M19" i="32"/>
  <c r="I19" i="32"/>
  <c r="T18" i="32"/>
  <c r="S18" i="32"/>
  <c r="R18" i="32"/>
  <c r="N18" i="32"/>
  <c r="M18" i="32"/>
  <c r="I18" i="32"/>
  <c r="T17" i="32"/>
  <c r="S17" i="32"/>
  <c r="R17" i="32"/>
  <c r="O17" i="32"/>
  <c r="N17" i="32"/>
  <c r="M17" i="32"/>
  <c r="I17" i="32"/>
  <c r="T16" i="32"/>
  <c r="S16" i="32"/>
  <c r="R16" i="32"/>
  <c r="N16" i="32"/>
  <c r="M16" i="32"/>
  <c r="I16" i="32"/>
  <c r="T15" i="32"/>
  <c r="S15" i="32"/>
  <c r="R15" i="32"/>
  <c r="N15" i="32"/>
  <c r="M15" i="32"/>
  <c r="I15" i="32"/>
  <c r="T14" i="32"/>
  <c r="S14" i="32"/>
  <c r="R14" i="32"/>
  <c r="N14" i="32"/>
  <c r="M14" i="32"/>
  <c r="I14" i="32"/>
  <c r="T13" i="32"/>
  <c r="S13" i="32"/>
  <c r="R13" i="32"/>
  <c r="N13" i="32"/>
  <c r="O13" i="32" s="1"/>
  <c r="M13" i="32"/>
  <c r="I13" i="32"/>
  <c r="T12" i="32"/>
  <c r="S12" i="32"/>
  <c r="R12" i="32"/>
  <c r="N12" i="32"/>
  <c r="O12" i="32" s="1"/>
  <c r="M12" i="32"/>
  <c r="I12" i="32"/>
  <c r="T11" i="32"/>
  <c r="S11" i="32"/>
  <c r="R11" i="32"/>
  <c r="N11" i="32"/>
  <c r="O11" i="32" s="1"/>
  <c r="M11" i="32"/>
  <c r="I11" i="32"/>
  <c r="T10" i="32"/>
  <c r="S10" i="32"/>
  <c r="R10" i="32"/>
  <c r="N10" i="32"/>
  <c r="O10" i="32" s="1"/>
  <c r="M10" i="32"/>
  <c r="I10" i="32"/>
  <c r="T9" i="32"/>
  <c r="S9" i="32"/>
  <c r="R9" i="32"/>
  <c r="N9" i="32"/>
  <c r="M9" i="32"/>
  <c r="I9" i="32"/>
  <c r="T8" i="32"/>
  <c r="S8" i="32"/>
  <c r="R8" i="32"/>
  <c r="N8" i="32"/>
  <c r="O8" i="32" s="1"/>
  <c r="M8" i="32"/>
  <c r="I8" i="32"/>
  <c r="T7" i="32"/>
  <c r="S7" i="32"/>
  <c r="R7" i="32"/>
  <c r="N7" i="32"/>
  <c r="O7" i="32" s="1"/>
  <c r="M7" i="32"/>
  <c r="I7" i="32"/>
  <c r="T6" i="32"/>
  <c r="S6" i="32"/>
  <c r="R6" i="32"/>
  <c r="O6" i="32"/>
  <c r="N6" i="32"/>
  <c r="M6" i="32"/>
  <c r="I6" i="32"/>
  <c r="T5" i="32"/>
  <c r="S5" i="32"/>
  <c r="R5" i="32"/>
  <c r="N5" i="32"/>
  <c r="M5" i="32"/>
  <c r="I5" i="32"/>
  <c r="T4" i="32"/>
  <c r="S4" i="32"/>
  <c r="R4" i="32"/>
  <c r="N4" i="32"/>
  <c r="M4" i="32"/>
  <c r="I4" i="32"/>
  <c r="I45" i="30"/>
  <c r="Y57" i="30"/>
  <c r="I39" i="30"/>
  <c r="Y56" i="30"/>
  <c r="I37" i="30"/>
  <c r="Y55" i="30"/>
  <c r="I57" i="30"/>
  <c r="I56" i="30"/>
  <c r="I55" i="30"/>
  <c r="I54" i="30"/>
  <c r="I53" i="30"/>
  <c r="I52" i="30"/>
  <c r="I51" i="30"/>
  <c r="I43" i="30"/>
  <c r="I50" i="30"/>
  <c r="I49" i="30"/>
  <c r="I48" i="30"/>
  <c r="I23" i="30"/>
  <c r="I33" i="30"/>
  <c r="I47" i="30"/>
  <c r="I19" i="30"/>
  <c r="I31" i="30"/>
  <c r="I46" i="30"/>
  <c r="I35" i="30"/>
  <c r="I32" i="30"/>
  <c r="I44" i="30"/>
  <c r="I22" i="30"/>
  <c r="I38" i="30"/>
  <c r="I41" i="30"/>
  <c r="I40" i="30"/>
  <c r="I21" i="30"/>
  <c r="I20" i="30"/>
  <c r="I29" i="30"/>
  <c r="I27" i="30"/>
  <c r="I28" i="30"/>
  <c r="I25" i="30"/>
  <c r="I17" i="30"/>
  <c r="I15" i="30"/>
  <c r="I30" i="30"/>
  <c r="I36" i="30"/>
  <c r="I18" i="30"/>
  <c r="I13" i="30"/>
  <c r="I26" i="30"/>
  <c r="I12" i="30"/>
  <c r="I24" i="30"/>
  <c r="I42" i="30"/>
  <c r="I16" i="30"/>
  <c r="I11" i="30"/>
  <c r="I14" i="30"/>
  <c r="I10" i="30"/>
  <c r="I34" i="30"/>
  <c r="I9" i="30"/>
  <c r="I8" i="30"/>
  <c r="I6" i="30"/>
  <c r="I7" i="30"/>
  <c r="I5" i="30"/>
  <c r="I4" i="30"/>
  <c r="M19" i="30"/>
  <c r="R19" i="30"/>
  <c r="N19" i="30"/>
  <c r="O19" i="30" s="1"/>
  <c r="Y54" i="30"/>
  <c r="Y53" i="30"/>
  <c r="V53" i="30"/>
  <c r="W53" i="30" s="1"/>
  <c r="R57" i="30"/>
  <c r="N57" i="30"/>
  <c r="M57" i="30"/>
  <c r="Y52" i="30"/>
  <c r="V52" i="30"/>
  <c r="W52" i="30" s="1"/>
  <c r="R56" i="30"/>
  <c r="N56" i="30"/>
  <c r="O56" i="30" s="1"/>
  <c r="M56" i="30"/>
  <c r="Y51" i="30"/>
  <c r="V51" i="30"/>
  <c r="W51" i="30" s="1"/>
  <c r="R55" i="30"/>
  <c r="N55" i="30"/>
  <c r="O55" i="30" s="1"/>
  <c r="M55" i="30"/>
  <c r="Y50" i="30"/>
  <c r="V50" i="30"/>
  <c r="W50" i="30" s="1"/>
  <c r="R54" i="30"/>
  <c r="N54" i="30"/>
  <c r="O54" i="30" s="1"/>
  <c r="M54" i="30"/>
  <c r="Y49" i="30"/>
  <c r="V49" i="30"/>
  <c r="W49" i="30" s="1"/>
  <c r="R53" i="30"/>
  <c r="N53" i="30"/>
  <c r="O53" i="30" s="1"/>
  <c r="M53" i="30"/>
  <c r="Y48" i="30"/>
  <c r="V48" i="30"/>
  <c r="W48" i="30" s="1"/>
  <c r="R52" i="30"/>
  <c r="N52" i="30"/>
  <c r="M52" i="30"/>
  <c r="Y47" i="30"/>
  <c r="V47" i="30"/>
  <c r="W47" i="30" s="1"/>
  <c r="R51" i="30"/>
  <c r="N51" i="30"/>
  <c r="O51" i="30" s="1"/>
  <c r="M51" i="30"/>
  <c r="Y46" i="30"/>
  <c r="V46" i="30"/>
  <c r="W46" i="30" s="1"/>
  <c r="R46" i="30"/>
  <c r="N46" i="30"/>
  <c r="O46" i="30" s="1"/>
  <c r="M46" i="30"/>
  <c r="Y45" i="30"/>
  <c r="V45" i="30"/>
  <c r="W45" i="30" s="1"/>
  <c r="T45" i="30"/>
  <c r="S45" i="30"/>
  <c r="R48" i="30"/>
  <c r="N48" i="30"/>
  <c r="O48" i="30" s="1"/>
  <c r="M48" i="30"/>
  <c r="Y44" i="30"/>
  <c r="V44" i="30"/>
  <c r="W44" i="30" s="1"/>
  <c r="T44" i="30"/>
  <c r="S44" i="30"/>
  <c r="R33" i="30"/>
  <c r="N33" i="30"/>
  <c r="O33" i="30" s="1"/>
  <c r="M33" i="30"/>
  <c r="Y43" i="30"/>
  <c r="V43" i="30"/>
  <c r="W43" i="30" s="1"/>
  <c r="T43" i="30"/>
  <c r="S43" i="30"/>
  <c r="R35" i="30"/>
  <c r="N35" i="30"/>
  <c r="O35" i="30" s="1"/>
  <c r="M35" i="30"/>
  <c r="Y42" i="30"/>
  <c r="V42" i="30"/>
  <c r="W42" i="30" s="1"/>
  <c r="T42" i="30"/>
  <c r="S42" i="30"/>
  <c r="R22" i="30"/>
  <c r="N22" i="30"/>
  <c r="O22" i="30" s="1"/>
  <c r="M22" i="30"/>
  <c r="Y41" i="30"/>
  <c r="V41" i="30"/>
  <c r="W41" i="30" s="1"/>
  <c r="T41" i="30"/>
  <c r="S41" i="30"/>
  <c r="R23" i="30"/>
  <c r="N23" i="30"/>
  <c r="O23" i="30" s="1"/>
  <c r="M23" i="30"/>
  <c r="Y40" i="30"/>
  <c r="V40" i="30"/>
  <c r="W40" i="30" s="1"/>
  <c r="T40" i="30"/>
  <c r="S40" i="30"/>
  <c r="R43" i="30"/>
  <c r="N43" i="30"/>
  <c r="O43" i="30" s="1"/>
  <c r="M43" i="30"/>
  <c r="Y39" i="30"/>
  <c r="V39" i="30"/>
  <c r="W39" i="30" s="1"/>
  <c r="T39" i="30"/>
  <c r="S39" i="30"/>
  <c r="R30" i="30"/>
  <c r="N30" i="30"/>
  <c r="O30" i="30" s="1"/>
  <c r="M30" i="30"/>
  <c r="Y38" i="30"/>
  <c r="V38" i="30"/>
  <c r="W38" i="30" s="1"/>
  <c r="T38" i="30"/>
  <c r="S38" i="30"/>
  <c r="R38" i="30"/>
  <c r="N38" i="30"/>
  <c r="O38" i="30" s="1"/>
  <c r="M38" i="30"/>
  <c r="Y37" i="30"/>
  <c r="V37" i="30"/>
  <c r="W37" i="30" s="1"/>
  <c r="T37" i="30"/>
  <c r="S37" i="30"/>
  <c r="R32" i="30"/>
  <c r="N32" i="30"/>
  <c r="O32" i="30" s="1"/>
  <c r="M32" i="30"/>
  <c r="Y36" i="30"/>
  <c r="V36" i="30"/>
  <c r="W36" i="30" s="1"/>
  <c r="T36" i="30"/>
  <c r="S36" i="30"/>
  <c r="R41" i="30"/>
  <c r="N41" i="30"/>
  <c r="O41" i="30" s="1"/>
  <c r="M41" i="30"/>
  <c r="Y35" i="30"/>
  <c r="V35" i="30"/>
  <c r="W35" i="30" s="1"/>
  <c r="T35" i="30"/>
  <c r="S35" i="30"/>
  <c r="R49" i="30"/>
  <c r="N49" i="30"/>
  <c r="O49" i="30" s="1"/>
  <c r="M49" i="30"/>
  <c r="Y34" i="30"/>
  <c r="V34" i="30"/>
  <c r="W34" i="30" s="1"/>
  <c r="T34" i="30"/>
  <c r="S34" i="30"/>
  <c r="R50" i="30"/>
  <c r="N50" i="30"/>
  <c r="O50" i="30" s="1"/>
  <c r="M50" i="30"/>
  <c r="Y33" i="30"/>
  <c r="V33" i="30"/>
  <c r="W33" i="30" s="1"/>
  <c r="T33" i="30"/>
  <c r="S33" i="30"/>
  <c r="R29" i="30"/>
  <c r="N29" i="30"/>
  <c r="O29" i="30" s="1"/>
  <c r="M29" i="30"/>
  <c r="Y32" i="30"/>
  <c r="V32" i="30"/>
  <c r="W32" i="30" s="1"/>
  <c r="T32" i="30"/>
  <c r="S32" i="30"/>
  <c r="R31" i="30"/>
  <c r="N31" i="30"/>
  <c r="O31" i="30" s="1"/>
  <c r="M31" i="30"/>
  <c r="Y31" i="30"/>
  <c r="V31" i="30"/>
  <c r="W31" i="30" s="1"/>
  <c r="T31" i="30"/>
  <c r="S31" i="30"/>
  <c r="R26" i="30"/>
  <c r="N26" i="30"/>
  <c r="O26" i="30" s="1"/>
  <c r="M26" i="30"/>
  <c r="Y30" i="30"/>
  <c r="V30" i="30"/>
  <c r="W30" i="30" s="1"/>
  <c r="T30" i="30"/>
  <c r="S30" i="30"/>
  <c r="R21" i="30"/>
  <c r="N21" i="30"/>
  <c r="O21" i="30" s="1"/>
  <c r="M21" i="30"/>
  <c r="Y29" i="30"/>
  <c r="V29" i="30"/>
  <c r="W29" i="30" s="1"/>
  <c r="T29" i="30"/>
  <c r="S29" i="30"/>
  <c r="R44" i="30"/>
  <c r="N44" i="30"/>
  <c r="O44" i="30" s="1"/>
  <c r="M44" i="30"/>
  <c r="Y28" i="30"/>
  <c r="V28" i="30"/>
  <c r="W28" i="30" s="1"/>
  <c r="T28" i="30"/>
  <c r="S28" i="30"/>
  <c r="R47" i="30"/>
  <c r="N47" i="30"/>
  <c r="O47" i="30" s="1"/>
  <c r="M47" i="30"/>
  <c r="Y27" i="30"/>
  <c r="V27" i="30"/>
  <c r="W27" i="30" s="1"/>
  <c r="T27" i="30"/>
  <c r="S27" i="30"/>
  <c r="R18" i="30"/>
  <c r="N18" i="30"/>
  <c r="O18" i="30" s="1"/>
  <c r="M18" i="30"/>
  <c r="Y26" i="30"/>
  <c r="V26" i="30"/>
  <c r="W26" i="30" s="1"/>
  <c r="T26" i="30"/>
  <c r="S26" i="30"/>
  <c r="R28" i="30"/>
  <c r="N28" i="30"/>
  <c r="O28" i="30" s="1"/>
  <c r="M28" i="30"/>
  <c r="Y25" i="30"/>
  <c r="V25" i="30"/>
  <c r="W25" i="30" s="1"/>
  <c r="T25" i="30"/>
  <c r="S25" i="30"/>
  <c r="R24" i="30"/>
  <c r="N24" i="30"/>
  <c r="O24" i="30" s="1"/>
  <c r="M24" i="30"/>
  <c r="Y24" i="30"/>
  <c r="V24" i="30"/>
  <c r="W24" i="30" s="1"/>
  <c r="T24" i="30"/>
  <c r="S24" i="30"/>
  <c r="R42" i="30"/>
  <c r="N42" i="30"/>
  <c r="O42" i="30" s="1"/>
  <c r="M42" i="30"/>
  <c r="Y23" i="30"/>
  <c r="V23" i="30"/>
  <c r="W23" i="30" s="1"/>
  <c r="T23" i="30"/>
  <c r="S23" i="30"/>
  <c r="R27" i="30"/>
  <c r="N27" i="30"/>
  <c r="O27" i="30" s="1"/>
  <c r="M27" i="30"/>
  <c r="Y22" i="30"/>
  <c r="V22" i="30"/>
  <c r="W22" i="30" s="1"/>
  <c r="T22" i="30"/>
  <c r="S22" i="30"/>
  <c r="R36" i="30"/>
  <c r="N36" i="30"/>
  <c r="O36" i="30" s="1"/>
  <c r="M36" i="30"/>
  <c r="Y21" i="30"/>
  <c r="V21" i="30"/>
  <c r="W21" i="30" s="1"/>
  <c r="T21" i="30"/>
  <c r="S21" i="30"/>
  <c r="R16" i="30"/>
  <c r="N16" i="30"/>
  <c r="O16" i="30" s="1"/>
  <c r="M16" i="30"/>
  <c r="Y20" i="30"/>
  <c r="V20" i="30"/>
  <c r="W20" i="30" s="1"/>
  <c r="T20" i="30"/>
  <c r="S20" i="30"/>
  <c r="R20" i="30"/>
  <c r="N20" i="30"/>
  <c r="O20" i="30" s="1"/>
  <c r="M20" i="30"/>
  <c r="Y19" i="30"/>
  <c r="V19" i="30"/>
  <c r="W19" i="30" s="1"/>
  <c r="T19" i="30"/>
  <c r="S19" i="30"/>
  <c r="R17" i="30"/>
  <c r="N17" i="30"/>
  <c r="O17" i="30" s="1"/>
  <c r="M17" i="30"/>
  <c r="Y18" i="30"/>
  <c r="V18" i="30"/>
  <c r="W18" i="30" s="1"/>
  <c r="T18" i="30"/>
  <c r="S18" i="30"/>
  <c r="R13" i="30"/>
  <c r="N13" i="30"/>
  <c r="O13" i="30" s="1"/>
  <c r="M13" i="30"/>
  <c r="Y17" i="30"/>
  <c r="V17" i="30"/>
  <c r="W17" i="30" s="1"/>
  <c r="T17" i="30"/>
  <c r="S17" i="30"/>
  <c r="R15" i="30"/>
  <c r="N15" i="30"/>
  <c r="O15" i="30" s="1"/>
  <c r="M15" i="30"/>
  <c r="Y16" i="30"/>
  <c r="V16" i="30"/>
  <c r="W16" i="30" s="1"/>
  <c r="T16" i="30"/>
  <c r="S16" i="30"/>
  <c r="R40" i="30"/>
  <c r="N40" i="30"/>
  <c r="O40" i="30" s="1"/>
  <c r="M40" i="30"/>
  <c r="Y15" i="30"/>
  <c r="V15" i="30"/>
  <c r="W15" i="30" s="1"/>
  <c r="T15" i="30"/>
  <c r="S15" i="30"/>
  <c r="R11" i="30"/>
  <c r="N11" i="30"/>
  <c r="O11" i="30" s="1"/>
  <c r="M11" i="30"/>
  <c r="Y14" i="30"/>
  <c r="V14" i="30"/>
  <c r="W14" i="30" s="1"/>
  <c r="T14" i="30"/>
  <c r="S14" i="30"/>
  <c r="R25" i="30"/>
  <c r="N25" i="30"/>
  <c r="O25" i="30" s="1"/>
  <c r="M25" i="30"/>
  <c r="Y13" i="30"/>
  <c r="V13" i="30"/>
  <c r="W13" i="30" s="1"/>
  <c r="T13" i="30"/>
  <c r="S13" i="30"/>
  <c r="R14" i="30"/>
  <c r="N14" i="30"/>
  <c r="O14" i="30" s="1"/>
  <c r="M14" i="30"/>
  <c r="Y12" i="30"/>
  <c r="V12" i="30"/>
  <c r="W12" i="30" s="1"/>
  <c r="T12" i="30"/>
  <c r="S12" i="30"/>
  <c r="R12" i="30"/>
  <c r="N12" i="30"/>
  <c r="O12" i="30" s="1"/>
  <c r="M12" i="30"/>
  <c r="Y11" i="30"/>
  <c r="V11" i="30"/>
  <c r="W11" i="30" s="1"/>
  <c r="T11" i="30"/>
  <c r="S11" i="30"/>
  <c r="R9" i="30"/>
  <c r="N9" i="30"/>
  <c r="O9" i="30" s="1"/>
  <c r="M9" i="30"/>
  <c r="Y10" i="30"/>
  <c r="V10" i="30"/>
  <c r="W10" i="30" s="1"/>
  <c r="T10" i="30"/>
  <c r="S10" i="30"/>
  <c r="R8" i="30"/>
  <c r="N8" i="30"/>
  <c r="O8" i="30" s="1"/>
  <c r="M8" i="30"/>
  <c r="Y9" i="30"/>
  <c r="V9" i="30"/>
  <c r="W9" i="30" s="1"/>
  <c r="T9" i="30"/>
  <c r="S9" i="30"/>
  <c r="R10" i="30"/>
  <c r="N10" i="30"/>
  <c r="M10" i="30"/>
  <c r="Y8" i="30"/>
  <c r="V8" i="30"/>
  <c r="W8" i="30" s="1"/>
  <c r="T8" i="30"/>
  <c r="S8" i="30"/>
  <c r="R6" i="30"/>
  <c r="N6" i="30"/>
  <c r="M6" i="30"/>
  <c r="Y7" i="30"/>
  <c r="V7" i="30"/>
  <c r="W7" i="30" s="1"/>
  <c r="T7" i="30"/>
  <c r="S7" i="30"/>
  <c r="R7" i="30"/>
  <c r="N7" i="30"/>
  <c r="O7" i="30" s="1"/>
  <c r="M7" i="30"/>
  <c r="Y6" i="30"/>
  <c r="V6" i="30"/>
  <c r="W6" i="30" s="1"/>
  <c r="T6" i="30"/>
  <c r="S6" i="30"/>
  <c r="R34" i="30"/>
  <c r="N34" i="30"/>
  <c r="O34" i="30" s="1"/>
  <c r="M34" i="30"/>
  <c r="Y5" i="30"/>
  <c r="V5" i="30"/>
  <c r="W5" i="30" s="1"/>
  <c r="T5" i="30"/>
  <c r="S5" i="30"/>
  <c r="R5" i="30"/>
  <c r="N5" i="30"/>
  <c r="M5" i="30"/>
  <c r="Z4" i="30" a="1"/>
  <c r="Y4" i="30"/>
  <c r="V4" i="30"/>
  <c r="W4" i="30" s="1"/>
  <c r="T4" i="30"/>
  <c r="S4" i="30"/>
  <c r="R4" i="30"/>
  <c r="N4" i="30"/>
  <c r="O4" i="30" s="1"/>
  <c r="M4" i="30"/>
  <c r="W5" i="26"/>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4" i="26"/>
  <c r="AA3" i="26"/>
  <c r="Z3" i="26"/>
  <c r="Y5" i="26"/>
  <c r="Y6" i="26"/>
  <c r="Y7" i="26"/>
  <c r="Y8" i="26"/>
  <c r="Y9" i="26"/>
  <c r="Y10" i="26"/>
  <c r="Y4" i="26"/>
  <c r="Y3" i="26" s="1"/>
  <c r="X4" i="26" a="1"/>
  <c r="X4" i="26"/>
  <c r="U46" i="26"/>
  <c r="U47" i="26"/>
  <c r="U48" i="26"/>
  <c r="U49" i="26"/>
  <c r="U50" i="26"/>
  <c r="U51" i="26"/>
  <c r="U52" i="26"/>
  <c r="U53" i="26"/>
  <c r="U5" i="26"/>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 i="26"/>
  <c r="T46" i="26"/>
  <c r="T47" i="26"/>
  <c r="T48" i="26"/>
  <c r="T49" i="26"/>
  <c r="T50" i="26"/>
  <c r="T51" i="26"/>
  <c r="T52" i="26"/>
  <c r="T53"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 i="26"/>
  <c r="Q4" i="26"/>
  <c r="K4" i="26"/>
  <c r="K42" i="26"/>
  <c r="P42" i="26"/>
  <c r="L42" i="26"/>
  <c r="M42" i="26"/>
  <c r="N42" i="26"/>
  <c r="O42" i="26"/>
  <c r="K40" i="26"/>
  <c r="P40" i="26"/>
  <c r="L40" i="26"/>
  <c r="M40" i="26"/>
  <c r="N40" i="26"/>
  <c r="O40" i="26"/>
  <c r="K39" i="26"/>
  <c r="P39" i="26"/>
  <c r="L39" i="26"/>
  <c r="N39" i="26" s="1"/>
  <c r="M39" i="26"/>
  <c r="K38" i="26"/>
  <c r="P38" i="26"/>
  <c r="L38" i="26"/>
  <c r="N38" i="26" s="1"/>
  <c r="O38" i="26" s="1"/>
  <c r="M38" i="26"/>
  <c r="G45" i="26"/>
  <c r="G5" i="26"/>
  <c r="G6" i="26"/>
  <c r="G7" i="26"/>
  <c r="G8" i="26"/>
  <c r="G9" i="26"/>
  <c r="G10" i="26"/>
  <c r="G11" i="26"/>
  <c r="G12" i="26"/>
  <c r="G46" i="26"/>
  <c r="G47" i="26"/>
  <c r="G48" i="26"/>
  <c r="G49" i="26"/>
  <c r="G50" i="26"/>
  <c r="G51" i="26"/>
  <c r="G52" i="26"/>
  <c r="G53" i="26"/>
  <c r="G4" i="26"/>
  <c r="P53" i="26"/>
  <c r="L53" i="26"/>
  <c r="K53" i="26"/>
  <c r="P52" i="26"/>
  <c r="L52" i="26"/>
  <c r="M52" i="26" s="1"/>
  <c r="K52" i="26"/>
  <c r="P51" i="26"/>
  <c r="L51" i="26"/>
  <c r="K51" i="26"/>
  <c r="P50" i="26"/>
  <c r="L50" i="26"/>
  <c r="K50" i="26"/>
  <c r="R45" i="26"/>
  <c r="Q45" i="26"/>
  <c r="P49" i="26"/>
  <c r="L49" i="26"/>
  <c r="M49" i="26" s="1"/>
  <c r="K49" i="26"/>
  <c r="R44" i="26"/>
  <c r="Q44" i="26"/>
  <c r="P36" i="26"/>
  <c r="L36" i="26"/>
  <c r="M36" i="26" s="1"/>
  <c r="K36" i="26"/>
  <c r="R43" i="26"/>
  <c r="Q43" i="26"/>
  <c r="P45" i="26"/>
  <c r="L45" i="26"/>
  <c r="M45" i="26" s="1"/>
  <c r="K45" i="26"/>
  <c r="R42" i="26"/>
  <c r="Q42" i="26"/>
  <c r="P44" i="26"/>
  <c r="L44" i="26"/>
  <c r="M44" i="26" s="1"/>
  <c r="K44" i="26"/>
  <c r="R41" i="26"/>
  <c r="Q41" i="26"/>
  <c r="P34" i="26"/>
  <c r="L34" i="26"/>
  <c r="M34" i="26" s="1"/>
  <c r="K34" i="26"/>
  <c r="R40" i="26"/>
  <c r="Q40" i="26"/>
  <c r="P28" i="26"/>
  <c r="L28" i="26"/>
  <c r="M28" i="26" s="1"/>
  <c r="K28" i="26"/>
  <c r="R39" i="26"/>
  <c r="Q39" i="26"/>
  <c r="P37" i="26"/>
  <c r="L37" i="26"/>
  <c r="K37" i="26"/>
  <c r="R38" i="26"/>
  <c r="Q38" i="26"/>
  <c r="P22" i="26"/>
  <c r="L22" i="26"/>
  <c r="K22" i="26"/>
  <c r="R37" i="26"/>
  <c r="Q37" i="26"/>
  <c r="P35" i="26"/>
  <c r="L35" i="26"/>
  <c r="M35" i="26" s="1"/>
  <c r="N35" i="26" s="1"/>
  <c r="O35" i="26" s="1"/>
  <c r="K35" i="26"/>
  <c r="R36" i="26"/>
  <c r="Q36" i="26"/>
  <c r="P48" i="26"/>
  <c r="L48" i="26"/>
  <c r="K48" i="26"/>
  <c r="R35" i="26"/>
  <c r="Q35" i="26"/>
  <c r="P43" i="26"/>
  <c r="L43" i="26"/>
  <c r="M43" i="26" s="1"/>
  <c r="K43" i="26"/>
  <c r="R34" i="26"/>
  <c r="Q34" i="26"/>
  <c r="P47" i="26"/>
  <c r="L47" i="26"/>
  <c r="M47" i="26" s="1"/>
  <c r="K47" i="26"/>
  <c r="R33" i="26"/>
  <c r="Q33" i="26"/>
  <c r="P30" i="26"/>
  <c r="L30" i="26"/>
  <c r="M30" i="26" s="1"/>
  <c r="K30" i="26"/>
  <c r="R32" i="26"/>
  <c r="Q32" i="26"/>
  <c r="P29" i="26"/>
  <c r="L29" i="26"/>
  <c r="M29" i="26" s="1"/>
  <c r="K29" i="26"/>
  <c r="R31" i="26"/>
  <c r="Q31" i="26"/>
  <c r="P33" i="26"/>
  <c r="L33" i="26"/>
  <c r="K33" i="26"/>
  <c r="R30" i="26"/>
  <c r="Q30" i="26"/>
  <c r="P24" i="26"/>
  <c r="L24" i="26"/>
  <c r="K24" i="26"/>
  <c r="R29" i="26"/>
  <c r="Q29" i="26"/>
  <c r="P41" i="26"/>
  <c r="M41" i="26"/>
  <c r="N41" i="26" s="1"/>
  <c r="O41" i="26" s="1"/>
  <c r="L41" i="26"/>
  <c r="K41" i="26"/>
  <c r="R28" i="26"/>
  <c r="Q28" i="26"/>
  <c r="P20" i="26"/>
  <c r="M20" i="26"/>
  <c r="L20" i="26"/>
  <c r="K20" i="26"/>
  <c r="R27" i="26"/>
  <c r="Q27" i="26"/>
  <c r="P27" i="26"/>
  <c r="M27" i="26"/>
  <c r="L27" i="26"/>
  <c r="K27" i="26"/>
  <c r="R26" i="26"/>
  <c r="Q26" i="26"/>
  <c r="P46" i="26"/>
  <c r="L46" i="26"/>
  <c r="M46" i="26" s="1"/>
  <c r="K46" i="26"/>
  <c r="R25" i="26"/>
  <c r="Q25" i="26"/>
  <c r="P32" i="26"/>
  <c r="L32" i="26"/>
  <c r="M32" i="26" s="1"/>
  <c r="K32" i="26"/>
  <c r="R24" i="26"/>
  <c r="Q24" i="26"/>
  <c r="P26" i="26"/>
  <c r="L26" i="26"/>
  <c r="M26" i="26" s="1"/>
  <c r="K26" i="26"/>
  <c r="R23" i="26"/>
  <c r="Q23" i="26"/>
  <c r="P16" i="26"/>
  <c r="L16" i="26"/>
  <c r="K16" i="26"/>
  <c r="R22" i="26"/>
  <c r="Q22" i="26"/>
  <c r="P18" i="26"/>
  <c r="L18" i="26"/>
  <c r="M18" i="26" s="1"/>
  <c r="K18" i="26"/>
  <c r="R21" i="26"/>
  <c r="Q21" i="26"/>
  <c r="P31" i="26"/>
  <c r="L31" i="26"/>
  <c r="M31" i="26" s="1"/>
  <c r="K31" i="26"/>
  <c r="R20" i="26"/>
  <c r="Q20" i="26"/>
  <c r="P23" i="26"/>
  <c r="L23" i="26"/>
  <c r="M23" i="26" s="1"/>
  <c r="K23" i="26"/>
  <c r="R19" i="26"/>
  <c r="Q19" i="26"/>
  <c r="P15" i="26"/>
  <c r="L15" i="26"/>
  <c r="K15" i="26"/>
  <c r="R18" i="26"/>
  <c r="Q18" i="26"/>
  <c r="P21" i="26"/>
  <c r="L21" i="26"/>
  <c r="M21" i="26" s="1"/>
  <c r="K21" i="26"/>
  <c r="R17" i="26"/>
  <c r="Q17" i="26"/>
  <c r="P14" i="26"/>
  <c r="L14" i="26"/>
  <c r="K14" i="26"/>
  <c r="R16" i="26"/>
  <c r="Q16" i="26"/>
  <c r="P17" i="26"/>
  <c r="L17" i="26"/>
  <c r="M17" i="26" s="1"/>
  <c r="K17" i="26"/>
  <c r="R15" i="26"/>
  <c r="Q15" i="26"/>
  <c r="P12" i="26"/>
  <c r="L12" i="26"/>
  <c r="K12" i="26"/>
  <c r="R14" i="26"/>
  <c r="Q14" i="26"/>
  <c r="P11" i="26"/>
  <c r="L11" i="26"/>
  <c r="M11" i="26" s="1"/>
  <c r="K11" i="26"/>
  <c r="R13" i="26"/>
  <c r="Q13" i="26"/>
  <c r="P10" i="26"/>
  <c r="L10" i="26"/>
  <c r="M10" i="26" s="1"/>
  <c r="K10" i="26"/>
  <c r="R12" i="26"/>
  <c r="Q12" i="26"/>
  <c r="P19" i="26"/>
  <c r="L19" i="26"/>
  <c r="M19" i="26" s="1"/>
  <c r="K19" i="26"/>
  <c r="R11" i="26"/>
  <c r="Q11" i="26"/>
  <c r="P9" i="26"/>
  <c r="L9" i="26"/>
  <c r="K9" i="26"/>
  <c r="R10" i="26"/>
  <c r="Q10" i="26"/>
  <c r="P8" i="26"/>
  <c r="L8" i="26"/>
  <c r="M8" i="26" s="1"/>
  <c r="K8" i="26"/>
  <c r="R9" i="26"/>
  <c r="Q9" i="26"/>
  <c r="P25" i="26"/>
  <c r="L25" i="26"/>
  <c r="M25" i="26" s="1"/>
  <c r="K25" i="26"/>
  <c r="R8" i="26"/>
  <c r="Q8" i="26"/>
  <c r="P7" i="26"/>
  <c r="L7" i="26"/>
  <c r="M7" i="26" s="1"/>
  <c r="K7" i="26"/>
  <c r="R7" i="26"/>
  <c r="Q7" i="26"/>
  <c r="P6" i="26"/>
  <c r="L6" i="26"/>
  <c r="K6" i="26"/>
  <c r="R6" i="26"/>
  <c r="Q6" i="26"/>
  <c r="P13" i="26"/>
  <c r="L13" i="26"/>
  <c r="M13" i="26" s="1"/>
  <c r="K13" i="26"/>
  <c r="R5" i="26"/>
  <c r="Q5" i="26"/>
  <c r="P5" i="26"/>
  <c r="L5" i="26"/>
  <c r="K5" i="26"/>
  <c r="R4" i="26"/>
  <c r="R2" i="26" s="1"/>
  <c r="P4" i="26"/>
  <c r="L4" i="26"/>
  <c r="M4" i="26" s="1"/>
  <c r="W3" i="17"/>
  <c r="W5" i="17"/>
  <c r="W6" i="17"/>
  <c r="W7" i="17"/>
  <c r="W8" i="17"/>
  <c r="W9" i="17"/>
  <c r="W10" i="17"/>
  <c r="W11" i="17"/>
  <c r="W12" i="17"/>
  <c r="W13" i="17"/>
  <c r="W14" i="17"/>
  <c r="W15" i="17"/>
  <c r="W16" i="17"/>
  <c r="W17" i="17"/>
  <c r="W18" i="17"/>
  <c r="W19" i="17"/>
  <c r="W20" i="17"/>
  <c r="W21" i="17"/>
  <c r="W22" i="17"/>
  <c r="W23" i="17"/>
  <c r="W4" i="17"/>
  <c r="V4" i="17" a="1"/>
  <c r="V4" i="17" s="1"/>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 i="17"/>
  <c r="J45" i="17"/>
  <c r="O45" i="17"/>
  <c r="K45" i="17"/>
  <c r="L45" i="17" s="1"/>
  <c r="F49" i="17"/>
  <c r="F48" i="17"/>
  <c r="F47" i="17"/>
  <c r="F46" i="17"/>
  <c r="F13" i="17"/>
  <c r="F12" i="17"/>
  <c r="F9" i="17"/>
  <c r="F11" i="17"/>
  <c r="F10" i="17"/>
  <c r="F8" i="17"/>
  <c r="F7" i="17"/>
  <c r="F6" i="17"/>
  <c r="F5" i="17"/>
  <c r="O16" i="32" l="1"/>
  <c r="P16" i="32" s="1"/>
  <c r="Q16" i="32" s="1"/>
  <c r="U8" i="32"/>
  <c r="U34" i="32"/>
  <c r="U23" i="32"/>
  <c r="O24" i="32"/>
  <c r="P24" i="32" s="1"/>
  <c r="Q24" i="32" s="1"/>
  <c r="U7" i="32"/>
  <c r="U12" i="32"/>
  <c r="U18" i="32"/>
  <c r="U28" i="32"/>
  <c r="U6" i="32"/>
  <c r="U16" i="32"/>
  <c r="U17" i="32"/>
  <c r="U22" i="32"/>
  <c r="U32" i="32"/>
  <c r="U42" i="32"/>
  <c r="U11" i="32"/>
  <c r="U21" i="32"/>
  <c r="U27" i="32"/>
  <c r="U36" i="32"/>
  <c r="U41" i="32"/>
  <c r="U5" i="32"/>
  <c r="U10" i="32"/>
  <c r="U15" i="32"/>
  <c r="U31" i="32"/>
  <c r="U38" i="32"/>
  <c r="U19" i="32"/>
  <c r="U33" i="32"/>
  <c r="U39" i="32"/>
  <c r="U20" i="32"/>
  <c r="U26" i="32"/>
  <c r="U35" i="32"/>
  <c r="U40" i="32"/>
  <c r="U13" i="32"/>
  <c r="U29" i="32"/>
  <c r="U43" i="32"/>
  <c r="U9" i="32"/>
  <c r="U14" i="32"/>
  <c r="U24" i="32"/>
  <c r="U25" i="32"/>
  <c r="U30" i="32"/>
  <c r="U44" i="32"/>
  <c r="P37" i="32"/>
  <c r="Q37" i="32" s="1"/>
  <c r="P39" i="32"/>
  <c r="Q39" i="32" s="1"/>
  <c r="T2" i="32"/>
  <c r="S2" i="32"/>
  <c r="P45" i="32"/>
  <c r="Q45" i="32" s="1"/>
  <c r="P32" i="32"/>
  <c r="Q32" i="32" s="1"/>
  <c r="P36" i="32"/>
  <c r="Q36" i="32" s="1"/>
  <c r="P12" i="32"/>
  <c r="Q12" i="32" s="1"/>
  <c r="P7" i="32"/>
  <c r="Q7" i="32" s="1"/>
  <c r="P40" i="32"/>
  <c r="Q40" i="32" s="1"/>
  <c r="P23" i="32"/>
  <c r="P48" i="32"/>
  <c r="Q48" i="32" s="1"/>
  <c r="P52" i="32"/>
  <c r="Q52" i="32" s="1"/>
  <c r="P28" i="32"/>
  <c r="Q28" i="32" s="1"/>
  <c r="P44" i="32"/>
  <c r="Q44" i="32" s="1"/>
  <c r="P11" i="32"/>
  <c r="Q11" i="32" s="1"/>
  <c r="Q21" i="32"/>
  <c r="P20" i="32"/>
  <c r="Q20" i="32" s="1"/>
  <c r="P38" i="32"/>
  <c r="Q38" i="32" s="1"/>
  <c r="P6" i="32"/>
  <c r="Q6" i="32" s="1"/>
  <c r="P10" i="32"/>
  <c r="Q10" i="32" s="1"/>
  <c r="O18" i="32"/>
  <c r="P18" i="32" s="1"/>
  <c r="P21" i="32"/>
  <c r="P29" i="32"/>
  <c r="Q29" i="32" s="1"/>
  <c r="O49" i="32"/>
  <c r="P49" i="32" s="1"/>
  <c r="O53" i="32"/>
  <c r="U37" i="32"/>
  <c r="P13" i="32"/>
  <c r="Q13" i="32" s="1"/>
  <c r="O26" i="32"/>
  <c r="O34" i="32"/>
  <c r="P34" i="32" s="1"/>
  <c r="O4" i="32"/>
  <c r="P4" i="32" s="1"/>
  <c r="O5" i="32"/>
  <c r="P5" i="32" s="1"/>
  <c r="O9" i="32"/>
  <c r="P9" i="32" s="1"/>
  <c r="O15" i="32"/>
  <c r="P15" i="32" s="1"/>
  <c r="O23" i="32"/>
  <c r="O31" i="32"/>
  <c r="P31" i="32" s="1"/>
  <c r="Q41" i="32"/>
  <c r="O43" i="32"/>
  <c r="P43" i="32" s="1"/>
  <c r="U4" i="32"/>
  <c r="O46" i="32"/>
  <c r="O50" i="32"/>
  <c r="O54" i="32"/>
  <c r="O55" i="32"/>
  <c r="P55" i="32" s="1"/>
  <c r="O56" i="32"/>
  <c r="P56" i="32" s="1"/>
  <c r="O57" i="32"/>
  <c r="P57" i="32" s="1"/>
  <c r="U45" i="32"/>
  <c r="P8" i="32"/>
  <c r="Q8" i="32" s="1"/>
  <c r="O14" i="32"/>
  <c r="P17" i="32"/>
  <c r="Q17" i="32" s="1"/>
  <c r="O22" i="32"/>
  <c r="P25" i="32"/>
  <c r="Q25" i="32" s="1"/>
  <c r="O30" i="32"/>
  <c r="P30" i="32" s="1"/>
  <c r="P33" i="32"/>
  <c r="Q33" i="32" s="1"/>
  <c r="O42" i="32"/>
  <c r="P42" i="32" s="1"/>
  <c r="O47" i="32"/>
  <c r="O51" i="32"/>
  <c r="O19" i="32"/>
  <c r="P19" i="32" s="1"/>
  <c r="O27" i="32"/>
  <c r="P27" i="32" s="1"/>
  <c r="O35" i="32"/>
  <c r="P35" i="32" s="1"/>
  <c r="P4" i="30"/>
  <c r="P19" i="30"/>
  <c r="Q19" i="30" s="1"/>
  <c r="AA5" i="30"/>
  <c r="U4" i="30"/>
  <c r="AA8" i="30"/>
  <c r="U7" i="30"/>
  <c r="U9" i="30"/>
  <c r="O52" i="30"/>
  <c r="P52" i="30" s="1"/>
  <c r="Q52" i="30" s="1"/>
  <c r="U5" i="30"/>
  <c r="P8" i="30"/>
  <c r="Q8" i="30" s="1"/>
  <c r="P56" i="30"/>
  <c r="Q56" i="30" s="1"/>
  <c r="T2" i="30"/>
  <c r="U35" i="30"/>
  <c r="U43" i="30"/>
  <c r="U6" i="30"/>
  <c r="U8" i="30"/>
  <c r="U12" i="30"/>
  <c r="P13" i="30"/>
  <c r="Q13" i="30" s="1"/>
  <c r="U20" i="30"/>
  <c r="P28" i="30"/>
  <c r="Q28" i="30" s="1"/>
  <c r="U28" i="30"/>
  <c r="P50" i="30"/>
  <c r="Q50" i="30" s="1"/>
  <c r="U36" i="30"/>
  <c r="P22" i="30"/>
  <c r="Q22" i="30" s="1"/>
  <c r="U44" i="30"/>
  <c r="U27" i="30"/>
  <c r="S2" i="30"/>
  <c r="P34" i="30"/>
  <c r="Q34" i="30" s="1"/>
  <c r="P7" i="30"/>
  <c r="Q7" i="30" s="1"/>
  <c r="U13" i="30"/>
  <c r="U21" i="30"/>
  <c r="U29" i="30"/>
  <c r="U37" i="30"/>
  <c r="U45" i="30"/>
  <c r="U10" i="30"/>
  <c r="P12" i="30"/>
  <c r="Q12" i="30" s="1"/>
  <c r="U14" i="30"/>
  <c r="P20" i="30"/>
  <c r="Q20" i="30" s="1"/>
  <c r="U22" i="30"/>
  <c r="P47" i="30"/>
  <c r="Q47" i="30" s="1"/>
  <c r="U30" i="30"/>
  <c r="P41" i="30"/>
  <c r="Q41" i="30" s="1"/>
  <c r="U38" i="30"/>
  <c r="P33" i="30"/>
  <c r="Q33" i="30" s="1"/>
  <c r="U15" i="30"/>
  <c r="U23" i="30"/>
  <c r="U31" i="30"/>
  <c r="U39" i="30"/>
  <c r="U11" i="30"/>
  <c r="U19" i="30"/>
  <c r="P25" i="30"/>
  <c r="Q25" i="30" s="1"/>
  <c r="U16" i="30"/>
  <c r="P36" i="30"/>
  <c r="Q36" i="30" s="1"/>
  <c r="U24" i="30"/>
  <c r="P21" i="30"/>
  <c r="Q21" i="30" s="1"/>
  <c r="U32" i="30"/>
  <c r="P38" i="30"/>
  <c r="Q38" i="30" s="1"/>
  <c r="U40" i="30"/>
  <c r="U17" i="30"/>
  <c r="U25" i="30"/>
  <c r="U33" i="30"/>
  <c r="U41" i="30"/>
  <c r="P53" i="30"/>
  <c r="Q53" i="30" s="1"/>
  <c r="Q4" i="30"/>
  <c r="P40" i="30"/>
  <c r="Q40" i="30" s="1"/>
  <c r="U18" i="30"/>
  <c r="P42" i="30"/>
  <c r="Q42" i="30" s="1"/>
  <c r="U26" i="30"/>
  <c r="P31" i="30"/>
  <c r="Q31" i="30" s="1"/>
  <c r="U34" i="30"/>
  <c r="P43" i="30"/>
  <c r="Q43" i="30" s="1"/>
  <c r="U42" i="30"/>
  <c r="AA10" i="30"/>
  <c r="P46" i="30"/>
  <c r="Q46" i="30" s="1"/>
  <c r="Z4" i="30"/>
  <c r="AA4" i="30" s="1"/>
  <c r="AA7" i="30"/>
  <c r="O10" i="30"/>
  <c r="P10" i="30" s="1"/>
  <c r="P51" i="30"/>
  <c r="Q51" i="30" s="1"/>
  <c r="AA9" i="30"/>
  <c r="AA6" i="30"/>
  <c r="O6" i="30"/>
  <c r="P9" i="30"/>
  <c r="Q9" i="30" s="1"/>
  <c r="P14" i="30"/>
  <c r="Q14" i="30" s="1"/>
  <c r="P11" i="30"/>
  <c r="Q11" i="30" s="1"/>
  <c r="P15" i="30"/>
  <c r="Q15" i="30" s="1"/>
  <c r="P17" i="30"/>
  <c r="Q17" i="30" s="1"/>
  <c r="P16" i="30"/>
  <c r="Q16" i="30" s="1"/>
  <c r="P27" i="30"/>
  <c r="Q27" i="30" s="1"/>
  <c r="P24" i="30"/>
  <c r="Q24" i="30" s="1"/>
  <c r="P18" i="30"/>
  <c r="Q18" i="30" s="1"/>
  <c r="P44" i="30"/>
  <c r="Q44" i="30" s="1"/>
  <c r="P26" i="30"/>
  <c r="Q26" i="30" s="1"/>
  <c r="P29" i="30"/>
  <c r="Q29" i="30" s="1"/>
  <c r="P49" i="30"/>
  <c r="Q49" i="30" s="1"/>
  <c r="P32" i="30"/>
  <c r="Q32" i="30" s="1"/>
  <c r="P30" i="30"/>
  <c r="Q30" i="30" s="1"/>
  <c r="P23" i="30"/>
  <c r="Q23" i="30" s="1"/>
  <c r="P35" i="30"/>
  <c r="Q35" i="30" s="1"/>
  <c r="P48" i="30"/>
  <c r="Q48" i="30" s="1"/>
  <c r="P54" i="30"/>
  <c r="Q54" i="30" s="1"/>
  <c r="O5" i="30"/>
  <c r="P55" i="30"/>
  <c r="Q55" i="30" s="1"/>
  <c r="O57" i="30"/>
  <c r="P57" i="30" s="1"/>
  <c r="O39" i="26"/>
  <c r="S8" i="26"/>
  <c r="S12" i="26"/>
  <c r="S20" i="26"/>
  <c r="S4" i="26"/>
  <c r="N10" i="26"/>
  <c r="N31" i="26"/>
  <c r="O31" i="26" s="1"/>
  <c r="N20" i="26"/>
  <c r="O20" i="26" s="1"/>
  <c r="N52" i="26"/>
  <c r="O10" i="26"/>
  <c r="S19" i="26"/>
  <c r="Q2" i="26"/>
  <c r="S7" i="26"/>
  <c r="S11" i="26"/>
  <c r="S18" i="26"/>
  <c r="M15" i="26"/>
  <c r="N15" i="26" s="1"/>
  <c r="S25" i="26"/>
  <c r="S32" i="26"/>
  <c r="S39" i="26"/>
  <c r="S43" i="26"/>
  <c r="S44" i="26"/>
  <c r="S45" i="26"/>
  <c r="N36" i="26"/>
  <c r="O36" i="26" s="1"/>
  <c r="N49" i="26"/>
  <c r="O49" i="26" s="1"/>
  <c r="S26" i="26"/>
  <c r="S33" i="26"/>
  <c r="S40" i="26"/>
  <c r="S6" i="26"/>
  <c r="S10" i="26"/>
  <c r="S15" i="26"/>
  <c r="S16" i="26"/>
  <c r="M14" i="26"/>
  <c r="N14" i="26" s="1"/>
  <c r="O14" i="26" s="1"/>
  <c r="S23" i="26"/>
  <c r="S24" i="26"/>
  <c r="S31" i="26"/>
  <c r="S35" i="26"/>
  <c r="S36" i="26"/>
  <c r="S37" i="26"/>
  <c r="S38" i="26"/>
  <c r="S42" i="26"/>
  <c r="S21" i="26"/>
  <c r="S13" i="26"/>
  <c r="S14" i="26"/>
  <c r="M12" i="26"/>
  <c r="S22" i="26"/>
  <c r="M16" i="26"/>
  <c r="N16" i="26" s="1"/>
  <c r="S27" i="26"/>
  <c r="S28" i="26"/>
  <c r="S29" i="26"/>
  <c r="S30" i="26"/>
  <c r="S34" i="26"/>
  <c r="M48" i="26"/>
  <c r="S41" i="26"/>
  <c r="N21" i="26"/>
  <c r="O21" i="26" s="1"/>
  <c r="N29" i="26"/>
  <c r="O29" i="26"/>
  <c r="N13" i="26"/>
  <c r="O13" i="26" s="1"/>
  <c r="N8" i="26"/>
  <c r="O8" i="26" s="1"/>
  <c r="N17" i="26"/>
  <c r="O17" i="26" s="1"/>
  <c r="N26" i="26"/>
  <c r="O26" i="26" s="1"/>
  <c r="N44" i="26"/>
  <c r="O44" i="26" s="1"/>
  <c r="N11" i="26"/>
  <c r="O11" i="26" s="1"/>
  <c r="N18" i="26"/>
  <c r="O18" i="26" s="1"/>
  <c r="N47" i="26"/>
  <c r="O47" i="26" s="1"/>
  <c r="O52" i="26"/>
  <c r="N4" i="26"/>
  <c r="O4" i="26" s="1"/>
  <c r="N7" i="26"/>
  <c r="O7" i="26" s="1"/>
  <c r="N19" i="26"/>
  <c r="O19" i="26" s="1"/>
  <c r="N23" i="26"/>
  <c r="O23" i="26" s="1"/>
  <c r="N46" i="26"/>
  <c r="O46" i="26" s="1"/>
  <c r="N28" i="26"/>
  <c r="O28" i="26" s="1"/>
  <c r="S9" i="26"/>
  <c r="M22" i="26"/>
  <c r="N22" i="26" s="1"/>
  <c r="M6" i="26"/>
  <c r="N34" i="26"/>
  <c r="O34" i="26" s="1"/>
  <c r="N25" i="26"/>
  <c r="O25" i="26" s="1"/>
  <c r="M33" i="26"/>
  <c r="N33" i="26" s="1"/>
  <c r="M37" i="26"/>
  <c r="N37" i="26" s="1"/>
  <c r="S17" i="26"/>
  <c r="N27" i="26"/>
  <c r="O27" i="26" s="1"/>
  <c r="M5" i="26"/>
  <c r="N5" i="26" s="1"/>
  <c r="M9" i="26"/>
  <c r="N9" i="26" s="1"/>
  <c r="N32" i="26"/>
  <c r="O32" i="26" s="1"/>
  <c r="N30" i="26"/>
  <c r="O30" i="26" s="1"/>
  <c r="M51" i="26"/>
  <c r="N51" i="26" s="1"/>
  <c r="S5" i="26"/>
  <c r="M24" i="26"/>
  <c r="N43" i="26"/>
  <c r="O43" i="26" s="1"/>
  <c r="M50" i="26"/>
  <c r="N50" i="26" s="1"/>
  <c r="M53" i="26"/>
  <c r="N45" i="26"/>
  <c r="O45" i="26" s="1"/>
  <c r="M45" i="17"/>
  <c r="N45" i="17" s="1"/>
  <c r="U2" i="32" l="1"/>
  <c r="P54" i="32"/>
  <c r="Q54" i="32" s="1"/>
  <c r="P26" i="32"/>
  <c r="Q26" i="32" s="1"/>
  <c r="Q51" i="32"/>
  <c r="Q23" i="32"/>
  <c r="P51" i="32"/>
  <c r="Q34" i="32"/>
  <c r="Q31" i="32"/>
  <c r="Q15" i="32"/>
  <c r="P46" i="32"/>
  <c r="Q46" i="32" s="1"/>
  <c r="P50" i="32"/>
  <c r="Q50" i="32" s="1"/>
  <c r="Q49" i="32"/>
  <c r="P47" i="32"/>
  <c r="Q47" i="32" s="1"/>
  <c r="Q55" i="32"/>
  <c r="Q18" i="32"/>
  <c r="Q35" i="32"/>
  <c r="Q5" i="32"/>
  <c r="P14" i="32"/>
  <c r="Q14" i="32" s="1"/>
  <c r="Q42" i="32"/>
  <c r="Q9" i="32"/>
  <c r="Q27" i="32"/>
  <c r="Q30" i="32"/>
  <c r="Q57" i="32"/>
  <c r="Q19" i="32"/>
  <c r="Q56" i="32"/>
  <c r="Q43" i="32"/>
  <c r="Q4" i="32"/>
  <c r="P22" i="32"/>
  <c r="Q22" i="32" s="1"/>
  <c r="P53" i="32"/>
  <c r="Q53" i="32" s="1"/>
  <c r="AA3" i="30"/>
  <c r="AB3" i="30" s="1"/>
  <c r="AC3" i="30" s="1"/>
  <c r="U2" i="30"/>
  <c r="P6" i="30"/>
  <c r="Q6" i="30" s="1"/>
  <c r="Q57" i="30"/>
  <c r="Q10" i="30"/>
  <c r="P5" i="30"/>
  <c r="Q5" i="30" s="1"/>
  <c r="S2" i="26"/>
  <c r="O15" i="26"/>
  <c r="N48" i="26"/>
  <c r="O48" i="26" s="1"/>
  <c r="O16" i="26"/>
  <c r="N12" i="26"/>
  <c r="O12" i="26" s="1"/>
  <c r="N24" i="26"/>
  <c r="O24" i="26" s="1"/>
  <c r="O50" i="26"/>
  <c r="O37" i="26"/>
  <c r="O33" i="26"/>
  <c r="O51" i="26"/>
  <c r="O9" i="26"/>
  <c r="O5" i="26"/>
  <c r="O22" i="26"/>
  <c r="N6" i="26"/>
  <c r="O6" i="26" s="1"/>
  <c r="N53" i="26"/>
  <c r="O53" i="26" s="1"/>
  <c r="F4" i="17"/>
  <c r="O49" i="17"/>
  <c r="K49" i="17"/>
  <c r="J49" i="17"/>
  <c r="O43" i="17"/>
  <c r="K43" i="17"/>
  <c r="J43" i="17"/>
  <c r="O42" i="17"/>
  <c r="K42" i="17"/>
  <c r="L42" i="17" s="1"/>
  <c r="J42" i="17"/>
  <c r="Q45" i="17"/>
  <c r="P45" i="17"/>
  <c r="O33" i="17"/>
  <c r="K33" i="17"/>
  <c r="L33" i="17" s="1"/>
  <c r="J33" i="17"/>
  <c r="Q44" i="17"/>
  <c r="P44" i="17"/>
  <c r="O48" i="17"/>
  <c r="K48" i="17"/>
  <c r="L48" i="17" s="1"/>
  <c r="J48" i="17"/>
  <c r="Q43" i="17"/>
  <c r="P43" i="17"/>
  <c r="O47" i="17"/>
  <c r="K47" i="17"/>
  <c r="J47" i="17"/>
  <c r="Q42" i="17"/>
  <c r="P42" i="17"/>
  <c r="O37" i="17"/>
  <c r="K37" i="17"/>
  <c r="L37" i="17" s="1"/>
  <c r="J37" i="17"/>
  <c r="Q41" i="17"/>
  <c r="P41" i="17"/>
  <c r="O41" i="17"/>
  <c r="K41" i="17"/>
  <c r="J41" i="17"/>
  <c r="Q40" i="17"/>
  <c r="P40" i="17"/>
  <c r="O40" i="17"/>
  <c r="K40" i="17"/>
  <c r="L40" i="17" s="1"/>
  <c r="J40" i="17"/>
  <c r="Q39" i="17"/>
  <c r="P39" i="17"/>
  <c r="O29" i="17"/>
  <c r="K29" i="17"/>
  <c r="L29" i="17" s="1"/>
  <c r="J29" i="17"/>
  <c r="Q38" i="17"/>
  <c r="P38" i="17"/>
  <c r="O36" i="17"/>
  <c r="K36" i="17"/>
  <c r="L36" i="17" s="1"/>
  <c r="J36" i="17"/>
  <c r="Q37" i="17"/>
  <c r="P37" i="17"/>
  <c r="O46" i="17"/>
  <c r="K46" i="17"/>
  <c r="J46" i="17"/>
  <c r="Q36" i="17"/>
  <c r="P36" i="17"/>
  <c r="O39" i="17"/>
  <c r="K39" i="17"/>
  <c r="L39" i="17" s="1"/>
  <c r="J39" i="17"/>
  <c r="Q35" i="17"/>
  <c r="P35" i="17"/>
  <c r="O38" i="17"/>
  <c r="K38" i="17"/>
  <c r="J38" i="17"/>
  <c r="Q34" i="17"/>
  <c r="P34" i="17"/>
  <c r="O28" i="17"/>
  <c r="K28" i="17"/>
  <c r="L28" i="17" s="1"/>
  <c r="J28" i="17"/>
  <c r="Q33" i="17"/>
  <c r="P33" i="17"/>
  <c r="O35" i="17"/>
  <c r="K35" i="17"/>
  <c r="L35" i="17" s="1"/>
  <c r="J35" i="17"/>
  <c r="Q32" i="17"/>
  <c r="P32" i="17"/>
  <c r="O32" i="17"/>
  <c r="K32" i="17"/>
  <c r="L32" i="17" s="1"/>
  <c r="J32" i="17"/>
  <c r="Q31" i="17"/>
  <c r="P31" i="17"/>
  <c r="O31" i="17"/>
  <c r="L31" i="17"/>
  <c r="K31" i="17"/>
  <c r="J31" i="17"/>
  <c r="Q30" i="17"/>
  <c r="P30" i="17"/>
  <c r="O19" i="17"/>
  <c r="K19" i="17"/>
  <c r="L19" i="17" s="1"/>
  <c r="J19" i="17"/>
  <c r="Q29" i="17"/>
  <c r="P29" i="17"/>
  <c r="O34" i="17"/>
  <c r="L34" i="17"/>
  <c r="K34" i="17"/>
  <c r="J34" i="17"/>
  <c r="Q28" i="17"/>
  <c r="P28" i="17"/>
  <c r="O44" i="17"/>
  <c r="K44" i="17"/>
  <c r="L44" i="17" s="1"/>
  <c r="J44" i="17"/>
  <c r="Q27" i="17"/>
  <c r="P27" i="17"/>
  <c r="O25" i="17"/>
  <c r="K25" i="17"/>
  <c r="J25" i="17"/>
  <c r="Q26" i="17"/>
  <c r="P26" i="17"/>
  <c r="O30" i="17"/>
  <c r="K30" i="17"/>
  <c r="J30" i="17"/>
  <c r="Q25" i="17"/>
  <c r="P25" i="17"/>
  <c r="O23" i="17"/>
  <c r="K23" i="17"/>
  <c r="L23" i="17" s="1"/>
  <c r="J23" i="17"/>
  <c r="Q24" i="17"/>
  <c r="P24" i="17"/>
  <c r="O22" i="17"/>
  <c r="K22" i="17"/>
  <c r="L22" i="17" s="1"/>
  <c r="J22" i="17"/>
  <c r="Q23" i="17"/>
  <c r="P23" i="17"/>
  <c r="O21" i="17"/>
  <c r="K21" i="17"/>
  <c r="J21" i="17"/>
  <c r="Q22" i="17"/>
  <c r="P22" i="17"/>
  <c r="O24" i="17"/>
  <c r="K24" i="17"/>
  <c r="L24" i="17" s="1"/>
  <c r="J24" i="17"/>
  <c r="Q21" i="17"/>
  <c r="P21" i="17"/>
  <c r="O13" i="17"/>
  <c r="K13" i="17"/>
  <c r="J13" i="17"/>
  <c r="Q20" i="17"/>
  <c r="P20" i="17"/>
  <c r="O20" i="17"/>
  <c r="K20" i="17"/>
  <c r="L20" i="17" s="1"/>
  <c r="J20" i="17"/>
  <c r="Q19" i="17"/>
  <c r="P19" i="17"/>
  <c r="O27" i="17"/>
  <c r="K27" i="17"/>
  <c r="J27" i="17"/>
  <c r="Q18" i="17"/>
  <c r="P18" i="17"/>
  <c r="O18" i="17"/>
  <c r="K18" i="17"/>
  <c r="L18" i="17" s="1"/>
  <c r="J18" i="17"/>
  <c r="Q17" i="17"/>
  <c r="P17" i="17"/>
  <c r="O12" i="17"/>
  <c r="L12" i="17"/>
  <c r="K12" i="17"/>
  <c r="J12" i="17"/>
  <c r="Q16" i="17"/>
  <c r="P16" i="17"/>
  <c r="O26" i="17"/>
  <c r="K26" i="17"/>
  <c r="L26" i="17" s="1"/>
  <c r="J26" i="17"/>
  <c r="Q15" i="17"/>
  <c r="P15" i="17"/>
  <c r="O9" i="17"/>
  <c r="K9" i="17"/>
  <c r="L9" i="17" s="1"/>
  <c r="J9" i="17"/>
  <c r="Q14" i="17"/>
  <c r="P14" i="17"/>
  <c r="O11" i="17"/>
  <c r="K11" i="17"/>
  <c r="L11" i="17" s="1"/>
  <c r="J11" i="17"/>
  <c r="Q13" i="17"/>
  <c r="P13" i="17"/>
  <c r="O17" i="17"/>
  <c r="L17" i="17"/>
  <c r="K17" i="17"/>
  <c r="J17" i="17"/>
  <c r="Q12" i="17"/>
  <c r="P12" i="17"/>
  <c r="O15" i="17"/>
  <c r="K15" i="17"/>
  <c r="L15" i="17" s="1"/>
  <c r="J15" i="17"/>
  <c r="Q11" i="17"/>
  <c r="P11" i="17"/>
  <c r="O10" i="17"/>
  <c r="K10" i="17"/>
  <c r="J10" i="17"/>
  <c r="Q10" i="17"/>
  <c r="P10" i="17"/>
  <c r="O14" i="17"/>
  <c r="K14" i="17"/>
  <c r="L14" i="17" s="1"/>
  <c r="J14" i="17"/>
  <c r="Q9" i="17"/>
  <c r="P9" i="17"/>
  <c r="O8" i="17"/>
  <c r="K8" i="17"/>
  <c r="L8" i="17" s="1"/>
  <c r="J8" i="17"/>
  <c r="Q8" i="17"/>
  <c r="P8" i="17"/>
  <c r="O7" i="17"/>
  <c r="K7" i="17"/>
  <c r="L7" i="17" s="1"/>
  <c r="J7" i="17"/>
  <c r="Q7" i="17"/>
  <c r="P7" i="17"/>
  <c r="O16" i="17"/>
  <c r="K16" i="17"/>
  <c r="L16" i="17" s="1"/>
  <c r="J16" i="17"/>
  <c r="Q6" i="17"/>
  <c r="P6" i="17"/>
  <c r="O6" i="17"/>
  <c r="K6" i="17"/>
  <c r="L6" i="17" s="1"/>
  <c r="J6" i="17"/>
  <c r="Q5" i="17"/>
  <c r="P5" i="17"/>
  <c r="O5" i="17"/>
  <c r="K5" i="17"/>
  <c r="J5" i="17"/>
  <c r="Q4" i="17"/>
  <c r="P4" i="17"/>
  <c r="O4" i="17"/>
  <c r="K4" i="17"/>
  <c r="L4" i="17" s="1"/>
  <c r="J4" i="17"/>
  <c r="Q2" i="14"/>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5" i="14"/>
  <c r="E7" i="14"/>
  <c r="E6" i="14"/>
  <c r="E10" i="14"/>
  <c r="E8" i="14"/>
  <c r="E9" i="14"/>
  <c r="E11" i="14"/>
  <c r="E12" i="14"/>
  <c r="E13" i="14"/>
  <c r="E21" i="14"/>
  <c r="E31" i="14"/>
  <c r="E48" i="14"/>
  <c r="E46"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6" i="11"/>
  <c r="D7" i="11"/>
  <c r="D5" i="11"/>
  <c r="D8" i="11"/>
  <c r="D10" i="11"/>
  <c r="D9" i="11"/>
  <c r="D4" i="11"/>
  <c r="D12" i="11"/>
  <c r="B2" i="12" a="1"/>
  <c r="E41" i="14"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D28" i="11" l="1"/>
  <c r="E44" i="14"/>
  <c r="E37" i="14"/>
  <c r="E34" i="14"/>
  <c r="E19" i="14"/>
  <c r="E43" i="14"/>
  <c r="E33" i="14"/>
  <c r="E23" i="14"/>
  <c r="E26" i="14"/>
  <c r="E17" i="14"/>
  <c r="E39" i="14"/>
  <c r="E27" i="14"/>
  <c r="E28" i="14"/>
  <c r="E40" i="14"/>
  <c r="E36" i="14"/>
  <c r="E20" i="14"/>
  <c r="E18" i="14"/>
  <c r="E38" i="14"/>
  <c r="E29" i="14"/>
  <c r="E16" i="14"/>
  <c r="D45" i="11"/>
  <c r="E45" i="14"/>
  <c r="E25" i="14"/>
  <c r="E22" i="14"/>
  <c r="E24" i="14"/>
  <c r="E30" i="14"/>
  <c r="D20" i="11"/>
  <c r="G17" i="26"/>
  <c r="G26" i="26"/>
  <c r="G29" i="26"/>
  <c r="G28" i="26"/>
  <c r="F33" i="17"/>
  <c r="F34" i="17"/>
  <c r="F17" i="17"/>
  <c r="F44" i="17"/>
  <c r="F31" i="17"/>
  <c r="G38" i="26"/>
  <c r="G25" i="26"/>
  <c r="G32" i="26"/>
  <c r="G30" i="26"/>
  <c r="G34" i="26"/>
  <c r="F39" i="17"/>
  <c r="F20" i="17"/>
  <c r="F26" i="17"/>
  <c r="G24" i="26"/>
  <c r="F43" i="17"/>
  <c r="G39" i="26"/>
  <c r="G21" i="26"/>
  <c r="G44" i="26"/>
  <c r="F38" i="17"/>
  <c r="F25" i="17"/>
  <c r="F27" i="17"/>
  <c r="F37" i="17"/>
  <c r="F30" i="17"/>
  <c r="F40" i="17"/>
  <c r="G40" i="26"/>
  <c r="G15" i="26"/>
  <c r="G27" i="26"/>
  <c r="G43" i="26"/>
  <c r="G36" i="26"/>
  <c r="F28" i="17"/>
  <c r="F18" i="17"/>
  <c r="G42" i="26"/>
  <c r="G19" i="26"/>
  <c r="G23" i="26"/>
  <c r="G20" i="26"/>
  <c r="F45" i="17"/>
  <c r="F41" i="17"/>
  <c r="F35" i="17"/>
  <c r="F23" i="17"/>
  <c r="F32" i="17"/>
  <c r="G18" i="26"/>
  <c r="F21" i="17"/>
  <c r="G31" i="26"/>
  <c r="G41" i="26"/>
  <c r="G35" i="26"/>
  <c r="F22" i="17"/>
  <c r="G22" i="26"/>
  <c r="F29" i="17"/>
  <c r="G16" i="26"/>
  <c r="G33" i="26"/>
  <c r="G37" i="26"/>
  <c r="F42" i="17"/>
  <c r="F36" i="17"/>
  <c r="F19" i="17"/>
  <c r="F24" i="17"/>
  <c r="F16" i="17"/>
  <c r="D37" i="11"/>
  <c r="E35" i="14"/>
  <c r="E32" i="14"/>
  <c r="E42" i="14"/>
  <c r="R4" i="17"/>
  <c r="R12" i="17"/>
  <c r="R44" i="17"/>
  <c r="R6" i="17"/>
  <c r="R11" i="17"/>
  <c r="M12" i="17"/>
  <c r="R22" i="17"/>
  <c r="L21" i="17"/>
  <c r="M21" i="17" s="1"/>
  <c r="R27" i="17"/>
  <c r="M35" i="17"/>
  <c r="R38" i="17"/>
  <c r="R43" i="17"/>
  <c r="R16" i="17"/>
  <c r="R21" i="17"/>
  <c r="M25" i="17"/>
  <c r="R32" i="17"/>
  <c r="R37" i="17"/>
  <c r="R33" i="17"/>
  <c r="M29" i="17"/>
  <c r="R5" i="17"/>
  <c r="R10" i="17"/>
  <c r="L10" i="17"/>
  <c r="M10" i="17" s="1"/>
  <c r="R15" i="17"/>
  <c r="R26" i="17"/>
  <c r="L25" i="17"/>
  <c r="R31" i="17"/>
  <c r="R42" i="17"/>
  <c r="L47" i="17"/>
  <c r="R28" i="17"/>
  <c r="L5" i="17"/>
  <c r="M5" i="17" s="1"/>
  <c r="N5" i="17" s="1"/>
  <c r="R9" i="17"/>
  <c r="M9" i="17"/>
  <c r="R20" i="17"/>
  <c r="L13" i="17"/>
  <c r="M13" i="17" s="1"/>
  <c r="N13" i="17" s="1"/>
  <c r="R25" i="17"/>
  <c r="M31" i="17"/>
  <c r="N31" i="17" s="1"/>
  <c r="R36" i="17"/>
  <c r="L46" i="17"/>
  <c r="M46" i="17" s="1"/>
  <c r="N46" i="17" s="1"/>
  <c r="R41" i="17"/>
  <c r="R17" i="17"/>
  <c r="M8" i="17"/>
  <c r="R14" i="17"/>
  <c r="R19" i="17"/>
  <c r="M23" i="17"/>
  <c r="R30" i="17"/>
  <c r="R35" i="17"/>
  <c r="R8" i="17"/>
  <c r="R13" i="17"/>
  <c r="R24" i="17"/>
  <c r="N23" i="17"/>
  <c r="R29" i="17"/>
  <c r="R40" i="17"/>
  <c r="L41" i="17"/>
  <c r="R45" i="17"/>
  <c r="M16" i="17"/>
  <c r="N16" i="17" s="1"/>
  <c r="P2" i="17"/>
  <c r="N8" i="17"/>
  <c r="Q2" i="17"/>
  <c r="R7" i="17"/>
  <c r="M17" i="17"/>
  <c r="N17" i="17" s="1"/>
  <c r="R18" i="17"/>
  <c r="L27" i="17"/>
  <c r="M27" i="17" s="1"/>
  <c r="R23" i="17"/>
  <c r="M34" i="17"/>
  <c r="N34" i="17" s="1"/>
  <c r="R34" i="17"/>
  <c r="L38" i="17"/>
  <c r="M38" i="17" s="1"/>
  <c r="R39" i="17"/>
  <c r="M33" i="17"/>
  <c r="N33" i="17" s="1"/>
  <c r="M18" i="17"/>
  <c r="N18" i="17" s="1"/>
  <c r="M28" i="17"/>
  <c r="N28" i="17" s="1"/>
  <c r="M15" i="17"/>
  <c r="N15" i="17" s="1"/>
  <c r="M44" i="17"/>
  <c r="N44" i="17" s="1"/>
  <c r="N29" i="17"/>
  <c r="M48" i="17"/>
  <c r="N48" i="17" s="1"/>
  <c r="M7" i="17"/>
  <c r="N7" i="17" s="1"/>
  <c r="M6" i="17"/>
  <c r="N6" i="17" s="1"/>
  <c r="N12" i="17"/>
  <c r="M24" i="17"/>
  <c r="N24" i="17" s="1"/>
  <c r="N35" i="17"/>
  <c r="M36" i="17"/>
  <c r="N36" i="17" s="1"/>
  <c r="M26" i="17"/>
  <c r="N26" i="17" s="1"/>
  <c r="M32" i="17"/>
  <c r="N32" i="17" s="1"/>
  <c r="M4" i="17"/>
  <c r="N4" i="17" s="1"/>
  <c r="M14" i="17"/>
  <c r="N14" i="17" s="1"/>
  <c r="M37" i="17"/>
  <c r="N37" i="17" s="1"/>
  <c r="N9" i="17"/>
  <c r="M20" i="17"/>
  <c r="N20" i="17" s="1"/>
  <c r="M39" i="17"/>
  <c r="N39" i="17" s="1"/>
  <c r="M11" i="17"/>
  <c r="N11" i="17" s="1"/>
  <c r="M19" i="17"/>
  <c r="N19" i="17" s="1"/>
  <c r="M42" i="17"/>
  <c r="N42" i="17"/>
  <c r="M22" i="17"/>
  <c r="N22" i="17" s="1"/>
  <c r="M40" i="17"/>
  <c r="N40" i="17" s="1"/>
  <c r="L49" i="17"/>
  <c r="M49" i="17" s="1"/>
  <c r="L43" i="17"/>
  <c r="M43" i="17" s="1"/>
  <c r="L30" i="17"/>
  <c r="M30" i="17" s="1"/>
  <c r="M42" i="14"/>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F15" i="17" l="1"/>
  <c r="G14" i="26"/>
  <c r="F14" i="17"/>
  <c r="G13" i="26"/>
  <c r="E15" i="14"/>
  <c r="E14" i="14"/>
  <c r="R2" i="17"/>
  <c r="N21" i="17"/>
  <c r="N27" i="17"/>
  <c r="N25" i="17"/>
  <c r="M41" i="17"/>
  <c r="N41" i="17" s="1"/>
  <c r="M47" i="17"/>
  <c r="N47" i="17" s="1"/>
  <c r="N10" i="17"/>
  <c r="N38" i="17"/>
  <c r="N43" i="17"/>
  <c r="N30" i="17"/>
  <c r="N49" i="17"/>
  <c r="M24" i="14"/>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<sst xmlns="http://schemas.openxmlformats.org/spreadsheetml/2006/main" count="1832" uniqueCount="249">
  <si>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</si>
  <si>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</si>
  <si>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</si>
  <si>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</si>
  <si>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</si>
  <si>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</si>
  <si>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</si>
  <si>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</si>
  <si>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</si>
  <si>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</si>
  <si>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</si>
  <si>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</si>
  <si>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</si>
  <si>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</si>
  <si>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</si>
  <si>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</si>
  <si>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</si>
  <si>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</si>
  <si>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</si>
  <si>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</si>
  <si>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</si>
  <si>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</si>
  <si>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</si>
  <si>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</si>
  <si>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</si>
  <si>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</si>
  <si>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</si>
  <si>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</si>
  <si>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</si>
  <si>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</si>
  <si>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</si>
  <si>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</si>
  <si>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</si>
  <si>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</si>
  <si>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</si>
  <si>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</si>
  <si>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</si>
  <si>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</si>
  <si>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</si>
  <si>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</si>
  <si>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</si>
  <si>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</si>
  <si>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</si>
  <si>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</si>
  <si>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</si>
  <si>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</si>
  <si>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</si>
  <si>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</si>
  <si>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</si>
  <si>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</si>
  <si>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</si>
  <si>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</si>
  <si>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</si>
  <si>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</si>
  <si>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</si>
  <si>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</si>
  <si>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</si>
  <si>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</si>
  <si>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</si>
  <si>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</si>
  <si>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</si>
  <si>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</si>
  <si>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</si>
  <si>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</si>
  <si>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</si>
  <si>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</si>
  <si>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</si>
  <si>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</si>
  <si>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</si>
  <si>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</si>
  <si>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</si>
  <si>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</si>
  <si>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</si>
  <si>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</si>
  <si>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</si>
  <si>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</si>
  <si>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</si>
  <si>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</si>
  <si>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</si>
  <si>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</si>
  <si>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</si>
  <si>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</si>
  <si>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</si>
  <si>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</si>
  <si>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</si>
  <si>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</si>
  <si>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</si>
  <si>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</si>
  <si>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</si>
  <si>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</si>
  <si>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</si>
  <si>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</si>
  <si>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</si>
  <si>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</si>
  <si>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</si>
  <si>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</si>
  <si>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</si>
  <si>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</si>
  <si>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</si>
  <si>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</si>
  <si>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</si>
  <si>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</si>
  <si>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</si>
  <si>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</si>
  <si>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</si>
  <si>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</si>
  <si>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</si>
  <si>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</si>
  <si>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</si>
  <si>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</si>
  <si>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</si>
  <si>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</si>
  <si>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</si>
  <si>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</si>
  <si>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</si>
  <si>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</si>
  <si>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</si>
  <si>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</si>
  <si>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</si>
  <si>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</si>
  <si>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</si>
  <si>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</si>
  <si>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</si>
  <si>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</si>
  <si>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</si>
  <si>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</si>
  <si>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</si>
  <si>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</si>
  <si>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</si>
  <si>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</si>
  <si>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</si>
  <si>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</si>
  <si>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</si>
  <si>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</si>
  <si>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</si>
  <si>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</si>
  <si>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</si>
  <si>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</si>
  <si>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</si>
  <si>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</si>
  <si>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</si>
  <si>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</si>
  <si>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</si>
  <si>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</si>
  <si>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</si>
  <si>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</si>
  <si>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</si>
  <si>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</si>
  <si>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</si>
  <si>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</si>
  <si>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</si>
  <si>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</si>
  <si>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</si>
  <si>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</si>
  <si>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</si>
  <si>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</si>
  <si>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</si>
  <si>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</si>
  <si>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</si>
  <si>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</si>
  <si>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</si>
  <si>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</si>
  <si>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</si>
  <si>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</si>
  <si>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</si>
  <si>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</si>
  <si>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</si>
  <si>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</si>
  <si>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</si>
  <si>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</si>
  <si>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</si>
  <si>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</si>
  <si>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</si>
  <si>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</si>
  <si>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</si>
  <si>
    <t>Rank for January 2023</t>
  </si>
  <si>
    <t>Will be out for January 2023 tournament</t>
  </si>
  <si>
    <t>Current rank value</t>
  </si>
  <si>
    <t>heights and weights checked Jan 6, 2023</t>
  </si>
  <si>
    <t>retired</t>
  </si>
  <si>
    <t>J10</t>
  </si>
  <si>
    <t>weight in November (kg)</t>
  </si>
  <si>
    <t>Change</t>
  </si>
  <si>
    <t>Update for January 2023</t>
  </si>
  <si>
    <t>as of 6 Jan 2023</t>
  </si>
  <si>
    <t>Rank for March 2023</t>
  </si>
  <si>
    <t>M17</t>
  </si>
  <si>
    <t>J08</t>
  </si>
  <si>
    <t>Daishoho</t>
  </si>
  <si>
    <t>Kinbozan</t>
  </si>
  <si>
    <t>Bushozan</t>
  </si>
  <si>
    <t>Hokuseiho</t>
  </si>
  <si>
    <t>J02</t>
  </si>
  <si>
    <t>retired January 2023</t>
  </si>
  <si>
    <t>Ms01</t>
  </si>
  <si>
    <t>Height went from 185 to 188?</t>
  </si>
  <si>
    <t>Height went from 183 to 182?</t>
  </si>
  <si>
    <t>heights and weights checked Mar 5, 2023?</t>
  </si>
  <si>
    <t>height went up from 186 to 187</t>
  </si>
  <si>
    <t>height went up from 183 to 184</t>
  </si>
  <si>
    <t>height went from 187 to 186</t>
  </si>
  <si>
    <t>height went from 187 to 188</t>
  </si>
  <si>
    <t>height went from 184 to 185</t>
  </si>
  <si>
    <t>height went from 178 to 177</t>
  </si>
  <si>
    <t>height went from 189 up to 191</t>
  </si>
  <si>
    <t>height went from 183 to 184</t>
  </si>
  <si>
    <t>height went from 186 to 188</t>
  </si>
  <si>
    <t>height went from 189 to 188</t>
  </si>
  <si>
    <t>height went from 190 to 191</t>
  </si>
  <si>
    <t>height went from 184 to 183</t>
  </si>
  <si>
    <t>height went from 191 to 192</t>
  </si>
  <si>
    <t>height went from 189 to 190</t>
  </si>
  <si>
    <t>height went from 190 to 189</t>
  </si>
  <si>
    <t>height went from 177 to 178</t>
  </si>
  <si>
    <t>Update for March 2023</t>
  </si>
  <si>
    <t>as of 5 Mar 2023</t>
  </si>
  <si>
    <t>height in January (cm)</t>
  </si>
  <si>
    <t>Day 14 record</t>
  </si>
  <si>
    <t>OUT</t>
  </si>
  <si>
    <t>Label</t>
  </si>
  <si>
    <t>7-6</t>
  </si>
  <si>
    <t>9-4</t>
  </si>
  <si>
    <t>10-3</t>
  </si>
  <si>
    <t>11-2</t>
  </si>
  <si>
    <t>4-9</t>
  </si>
  <si>
    <t>8-5</t>
  </si>
  <si>
    <t>3-10</t>
  </si>
  <si>
    <t>8-12</t>
  </si>
  <si>
    <t>5-8</t>
  </si>
  <si>
    <t>6-7</t>
  </si>
  <si>
    <t>Rank for May 2023</t>
  </si>
  <si>
    <t>Asanoyama</t>
  </si>
  <si>
    <t>J05</t>
  </si>
  <si>
    <t>Ms05</t>
  </si>
  <si>
    <t>heights and weights checked May 6, 2023</t>
  </si>
  <si>
    <t>https://conning-my.sharepoint.com/personal/marypat_campbell_conning_com/Documents/Documents/STUMP writing/sumo/[May 2023 Grand Sumo tournament height and weight.xlsx]Documentation Information</t>
  </si>
  <si>
    <t>Update for May 2023</t>
  </si>
  <si>
    <t>as of 6 May 2023</t>
  </si>
  <si>
    <t>Rank for July 2023</t>
  </si>
  <si>
    <t>Notes for July 2023</t>
  </si>
  <si>
    <t>Kirishima</t>
  </si>
  <si>
    <t>Changed shikona from Kiribayama to Kirishima</t>
  </si>
  <si>
    <t>J01</t>
  </si>
  <si>
    <t>Gonoyama</t>
  </si>
  <si>
    <t>Shonannoumi</t>
  </si>
  <si>
    <t>Hakuoho</t>
  </si>
  <si>
    <t>J06</t>
  </si>
  <si>
    <t>J11</t>
  </si>
  <si>
    <t>heights and weights checked July 2, 2023 -- there may not have been a weigh-in for Nagoya, so it looks like all the weights are same as last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</si>
</sst>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6">
    <fill>
      <patternFill patternType="none"/>
    </fill>
    <fill>
      <patternFill patternType="gray125"/>
    </fill>
    <fill>
      <patternFill patternType="solid">
        <fgColor theme="9" tint="0.89999084444715716"/>
        <bgColor indexed="64"/>
      </patternFill>
    </fill>
    <fill>
      <patternFill patternType="solid">
        <fgColor rgb="FFFFC000"/>
        <bgColor indexed="64"/>
      </patternFill>
    </fill>
    <fill>
      <patternFill patternType="solid">
        <fgColor theme="5"/>
        <bgColor indexed="64"/>
      </patternFill>
    </fill>
    <fill>
      <patternFill patternType="solid">
        <fgColor theme="4"/>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xf numFmtId="16" fontId="0" fillId="0" borderId="0" xfId="0" quotePrefix="1" applyNumberFormat="1"/>
    <xf numFmtId="0" fontId="0" fillId="0" borderId="0" xfId="0" quotePrefix="1"/>
    <xf numFmtId="0" fontId="1" fillId="3" borderId="0" xfId="0" applyFont="1" applyFill="1" applyAlignment="1">
      <alignment horizontal="right" vertical="center" wrapText="1"/>
    </xf>
    <xf numFmtId="0" fontId="0" fillId="3" borderId="0" xfId="0" applyFill="1"/>
    <xf numFmtId="0" fontId="1" fillId="4" borderId="0" xfId="0" applyFont="1" applyFill="1" applyAlignment="1">
      <alignment horizontal="right" vertical="center" wrapText="1"/>
    </xf>
    <xf numFmtId="0" fontId="1" fillId="5" borderId="0" xfId="0" applyFont="1" applyFill="1" applyAlignment="1">
      <alignment horizontal="righ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worksheet" Target="worksheets/sheet9.xml"/><Relationship Id="rId26" Type="http://schemas.openxmlformats.org/officeDocument/2006/relationships/sheetMetadata" Target="metadata.xml"/><Relationship Id="rId3" Type="http://schemas.openxmlformats.org/officeDocument/2006/relationships/chartsheet" Target="chartsheets/sheet3.xml"/><Relationship Id="rId21" Type="http://schemas.openxmlformats.org/officeDocument/2006/relationships/worksheet" Target="worksheets/sheet11.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worksheet" Target="worksheets/sheet8.xml"/><Relationship Id="rId25" Type="http://schemas.openxmlformats.org/officeDocument/2006/relationships/sharedStrings" Target="sharedStrings.xml"/><Relationship Id="rId2" Type="http://schemas.openxmlformats.org/officeDocument/2006/relationships/chartsheet" Target="chartsheets/sheet2.xml"/><Relationship Id="rId16" Type="http://schemas.openxmlformats.org/officeDocument/2006/relationships/chartsheet" Target="chartsheets/sheet9.xml"/><Relationship Id="rId20" Type="http://schemas.openxmlformats.org/officeDocument/2006/relationships/worksheet" Target="worksheets/sheet10.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3.xml"/><Relationship Id="rId24" Type="http://schemas.openxmlformats.org/officeDocument/2006/relationships/styles" Target="styles.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theme" Target="theme/theme1.xml"/><Relationship Id="rId10" Type="http://schemas.openxmlformats.org/officeDocument/2006/relationships/worksheet" Target="worksheets/sheet2.xml"/><Relationship Id="rId19" Type="http://schemas.openxmlformats.org/officeDocument/2006/relationships/chartsheet" Target="chartsheets/sheet10.xml"/><Relationship Id="rId4" Type="http://schemas.openxmlformats.org/officeDocument/2006/relationships/chartsheet" Target="chartsheets/sheet4.xml"/><Relationship Id="rId9" Type="http://schemas.openxmlformats.org/officeDocument/2006/relationships/chartsheet" Target="chartsheets/sheet8.xml"/><Relationship Id="rId14" Type="http://schemas.openxmlformats.org/officeDocument/2006/relationships/worksheet" Target="worksheets/sheet6.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E145D955-A7CB-4D7D-BEBB-6EAF98A634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AEAC7B73-CDF5-4876-85F2-A793D09B56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AC99FEAF-51DA-4943-A09C-52DB4E8770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CB50BB7B-A535-4C7E-A214-47208CCCE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FBEF2F56-D0BE-43E3-ACB6-248E1A2ACE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4E6A3CA1-895D-43B2-9952-700BFE8DC2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E24FF51D-19A1-42B0-A11B-24D98E2448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B85F3995-E376-44B6-BC06-13E76FA2AD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A39D9E4D-5933-4F40-B303-512041D1C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DD14F8D5-77B8-454A-A949-F2AD577D1F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221C8408-6415-45CE-8FEF-CE8D25E2EF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076F7A93-CFA4-4569-AADC-3348585377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7EDDF99A-5C3E-4114-AAA2-AC7EFA491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85352072-1D8A-4DFB-9862-63D16FBC89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682424BD-9C87-4438-84BE-204DA7169F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1AB77BE8-480F-4B16-98A4-80DBD65A4A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BF3F3D9D-A098-4B0E-A38B-4D434609B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942B9327-2A89-4D40-A5C5-98F5AD6530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70C90AEC-E3B1-4107-B6F3-3A2462E94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849FD374-A5C4-47EF-A74E-EEC44CCC5D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7F90703D-6B30-4139-988C-0B9BA81402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5B65406F-458D-446F-BA18-B7D56E679D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76252952-0043-4321-AC57-0B1A7C5D4A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06BE3DC5-A174-4812-A548-7A6E74D8C9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651A9D58-1F7D-48DA-A56C-56DE48B74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13E726F7-5152-4953-BD79-8E38C662F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185DF146-3ABF-4748-B989-A7E160A8BC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8C8D03ED-6233-4E8F-9E1E-A1FBFBDC2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16B35BCB-A869-466B-BBC9-BB7DA7E96E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BBA5F92C-ADC0-421C-BBC9-A11042FF46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82B53228-61E9-4E62-BFC9-7FEE026EB6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3FE3A359-ACE7-4C63-AE3E-5FFC4E83AD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8D6705ED-34D4-43DE-A2C3-3D0CC2A1DC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EC0FF0CB-5672-4121-A951-1736CE078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C28AA1EC-B7DF-4118-B662-2FE2B597D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0E1AC3BE-4B23-4323-98E9-12B6BB460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398DD6C6-2CF3-4B0A-BA0B-FDE03BD2D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824C571F-6C81-4A48-9366-C3F3FC00A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61787CE8-F087-44AB-B196-AD842ACD1D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316DAE0E-B5C0-45A6-84D3-26CAF4FD07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98BB747B-7FFF-45F3-91DF-1E242C8183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9778EE36-254D-4C41-9B25-DBA0F726D5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July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B068-400E-B7C8-831B11434695}"/>
              </c:ext>
            </c:extLst>
          </c:dPt>
          <c:dLbls>
            <c:dLbl>
              <c:idx val="0"/>
              <c:layout>
                <c:manualLayout>
                  <c:x val="-1.9065076809395308E-2"/>
                  <c:y val="-4.4444444444444446E-2"/>
                </c:manualLayout>
              </c:layout>
              <c:tx>
                <c:rich>
                  <a:bodyPr/>
                  <a:lstStyle/>
                  <a:p>
                    <a:fld id="{A98948D9-8DA6-478C-AF6F-3AC5C7B9E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B068-400E-B7C8-831B11434695}"/>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F383CCB7-81CB-44D9-8428-455B466DB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68-400E-B7C8-831B11434695}"/>
                </c:ext>
              </c:extLst>
            </c:dLbl>
            <c:dLbl>
              <c:idx val="1"/>
              <c:layout>
                <c:manualLayout>
                  <c:x val="-5.8661774798139405E-3"/>
                  <c:y val="1.0101010101010027E-2"/>
                </c:manualLayout>
              </c:layout>
              <c:tx>
                <c:rich>
                  <a:bodyPr/>
                  <a:lstStyle/>
                  <a:p>
                    <a:fld id="{D8C36A81-DB3D-403F-B1D2-FA332C5A5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Data'!$L$5:$L$6</c:f>
              <c:numCache>
                <c:formatCode>General</c:formatCode>
                <c:ptCount val="2"/>
                <c:pt idx="0">
                  <c:v>165</c:v>
                </c:pt>
                <c:pt idx="1">
                  <c:v>143</c:v>
                </c:pt>
              </c:numCache>
            </c:numRef>
          </c:xVal>
          <c:yVal>
            <c:numRef>
              <c:f>'July 2023 Data'!$K$5:$K$6</c:f>
              <c:numCache>
                <c:formatCode>General</c:formatCode>
                <c:ptCount val="2"/>
                <c:pt idx="0">
                  <c:v>175</c:v>
                </c:pt>
                <c:pt idx="1">
                  <c:v>186</c:v>
                </c:pt>
              </c:numCache>
            </c:numRef>
          </c:yVal>
          <c:smooth val="0"/>
          <c:extLst>
            <c:ext xmlns:c15="http://schemas.microsoft.com/office/drawing/2012/chart" uri="{02D57815-91ED-43cb-92C2-25804820EDAC}">
              <c15:datalabelsRange>
                <c15:f>'July 2023 Data'!$A$5:$A$6</c15:f>
                <c15:dlblRangeCache>
                  <c:ptCount val="2"/>
                  <c:pt idx="0">
                    <c:v>Takakeisho</c:v>
                  </c:pt>
                  <c:pt idx="1">
                    <c:v>Kirishima</c:v>
                  </c:pt>
                </c15:dlblRangeCache>
              </c15:datalabelsRange>
            </c:ext>
            <c:ext xmlns:c16="http://schemas.microsoft.com/office/drawing/2014/chart" uri="{C3380CC4-5D6E-409C-BE32-E72D297353CC}">
              <c16:uniqueId val="{00000003-B068-400E-B7C8-831B11434695}"/>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layout>
                <c:manualLayout>
                  <c:x val="-2.1998165549302329E-2"/>
                  <c:y val="-2.2222222222222223E-2"/>
                </c:manualLayout>
              </c:layout>
              <c:tx>
                <c:rich>
                  <a:bodyPr/>
                  <a:lstStyle/>
                  <a:p>
                    <a:fld id="{9C2C5499-57F9-47DF-9CFC-97739FC922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8-400E-B7C8-831B11434695}"/>
                </c:ext>
              </c:extLst>
            </c:dLbl>
            <c:dLbl>
              <c:idx val="1"/>
              <c:tx>
                <c:rich>
                  <a:bodyPr/>
                  <a:lstStyle/>
                  <a:p>
                    <a:fld id="{60CA28D2-B480-41A6-B38E-CA6D7CF0B6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68-400E-B7C8-831B11434695}"/>
                </c:ext>
              </c:extLst>
            </c:dLbl>
            <c:dLbl>
              <c:idx val="2"/>
              <c:tx>
                <c:rich>
                  <a:bodyPr/>
                  <a:lstStyle/>
                  <a:p>
                    <a:fld id="{5155C2A7-B818-4366-BB6B-874B57857C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Data'!$L$7:$L$9</c:f>
              <c:numCache>
                <c:formatCode>General</c:formatCode>
                <c:ptCount val="3"/>
                <c:pt idx="0">
                  <c:v>142</c:v>
                </c:pt>
                <c:pt idx="1">
                  <c:v>147</c:v>
                </c:pt>
                <c:pt idx="2">
                  <c:v>164</c:v>
                </c:pt>
              </c:numCache>
            </c:numRef>
          </c:xVal>
          <c:yVal>
            <c:numRef>
              <c:f>'July 2023 Data'!$K$7:$K$9</c:f>
              <c:numCache>
                <c:formatCode>General</c:formatCode>
                <c:ptCount val="3"/>
                <c:pt idx="0">
                  <c:v>188</c:v>
                </c:pt>
                <c:pt idx="1">
                  <c:v>187</c:v>
                </c:pt>
                <c:pt idx="2">
                  <c:v>182</c:v>
                </c:pt>
              </c:numCache>
            </c:numRef>
          </c:yVal>
          <c:smooth val="0"/>
          <c:extLst>
            <c:ext xmlns:c15="http://schemas.microsoft.com/office/drawing/2012/chart" uri="{02D57815-91ED-43cb-92C2-25804820EDAC}">
              <c15:datalabelsRange>
                <c15:f>'July 2023 Data'!$A$7:$A$9</c15:f>
                <c15:dlblRangeCache>
                  <c:ptCount val="3"/>
                  <c:pt idx="0">
                    <c:v>Hoshoryu</c:v>
                  </c:pt>
                  <c:pt idx="1">
                    <c:v>Wakamotoharu</c:v>
                  </c:pt>
                  <c:pt idx="2">
                    <c:v>Daieisho</c:v>
                  </c:pt>
                </c15:dlblRangeCache>
              </c15:datalabelsRange>
            </c:ext>
            <c:ext xmlns:c16="http://schemas.microsoft.com/office/drawing/2014/chart" uri="{C3380CC4-5D6E-409C-BE32-E72D297353CC}">
              <c16:uniqueId val="{00000008-B068-400E-B7C8-831B11434695}"/>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layout>
                <c:manualLayout>
                  <c:x val="-2.9330887399070778E-3"/>
                  <c:y val="-7.4073218373934501E-17"/>
                </c:manualLayout>
              </c:layout>
              <c:tx>
                <c:rich>
                  <a:bodyPr/>
                  <a:lstStyle/>
                  <a:p>
                    <a:fld id="{1548015E-5C22-4EAE-AECF-62F1D2F6D9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8-400E-B7C8-831B11434695}"/>
                </c:ext>
              </c:extLst>
            </c:dLbl>
            <c:dLbl>
              <c:idx val="1"/>
              <c:tx>
                <c:rich>
                  <a:bodyPr/>
                  <a:lstStyle/>
                  <a:p>
                    <a:fld id="{7EEC368D-1F9A-4C05-B49C-0D97877A5A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Data'!$L$10:$L$11</c:f>
              <c:numCache>
                <c:formatCode>General</c:formatCode>
                <c:ptCount val="2"/>
                <c:pt idx="0">
                  <c:v>176</c:v>
                </c:pt>
                <c:pt idx="1">
                  <c:v>158</c:v>
                </c:pt>
              </c:numCache>
            </c:numRef>
          </c:xVal>
          <c:yVal>
            <c:numRef>
              <c:f>'July 2023 Data'!$K$10:$K$11</c:f>
              <c:numCache>
                <c:formatCode>General</c:formatCode>
                <c:ptCount val="2"/>
                <c:pt idx="0">
                  <c:v>189</c:v>
                </c:pt>
                <c:pt idx="1">
                  <c:v>186</c:v>
                </c:pt>
              </c:numCache>
            </c:numRef>
          </c:yVal>
          <c:smooth val="0"/>
          <c:extLst>
            <c:ext xmlns:c15="http://schemas.microsoft.com/office/drawing/2012/chart" uri="{02D57815-91ED-43cb-92C2-25804820EDAC}">
              <c15:datalabelsRange>
                <c15:f>'July 2023 Data'!$A$10:$A$11</c15:f>
                <c15:dlblRangeCache>
                  <c:ptCount val="2"/>
                  <c:pt idx="0">
                    <c:v>Kotonowaka</c:v>
                  </c:pt>
                  <c:pt idx="1">
                    <c:v>Abi</c:v>
                  </c:pt>
                </c15:dlblRangeCache>
              </c15:datalabelsRange>
            </c:ext>
            <c:ext xmlns:c16="http://schemas.microsoft.com/office/drawing/2014/chart" uri="{C3380CC4-5D6E-409C-BE32-E72D297353CC}">
              <c16:uniqueId val="{0000000C-B068-400E-B7C8-831B11434695}"/>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tx>
                <c:rich>
                  <a:bodyPr/>
                  <a:lstStyle/>
                  <a:p>
                    <a:fld id="{2EC6CE0F-3EDC-47B0-9075-8D397D329C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68-400E-B7C8-831B11434695}"/>
                </c:ext>
              </c:extLst>
            </c:dLbl>
            <c:dLbl>
              <c:idx val="1"/>
              <c:tx>
                <c:rich>
                  <a:bodyPr/>
                  <a:lstStyle/>
                  <a:p>
                    <a:fld id="{D81A397E-7C6D-420C-AC37-8253A0006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68-400E-B7C8-831B11434695}"/>
                </c:ext>
              </c:extLst>
            </c:dLbl>
            <c:dLbl>
              <c:idx val="2"/>
              <c:tx>
                <c:rich>
                  <a:bodyPr/>
                  <a:lstStyle/>
                  <a:p>
                    <a:fld id="{36AADCCE-8F81-45D9-BBA1-B6B9688C75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68-400E-B7C8-831B11434695}"/>
                </c:ext>
              </c:extLst>
            </c:dLbl>
            <c:dLbl>
              <c:idx val="3"/>
              <c:tx>
                <c:rich>
                  <a:bodyPr/>
                  <a:lstStyle/>
                  <a:p>
                    <a:fld id="{F4DE9A6D-E562-4F5E-A329-93F5BAA15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68-400E-B7C8-831B11434695}"/>
                </c:ext>
              </c:extLst>
            </c:dLbl>
            <c:dLbl>
              <c:idx val="4"/>
              <c:tx>
                <c:rich>
                  <a:bodyPr/>
                  <a:lstStyle/>
                  <a:p>
                    <a:fld id="{039A7FE3-58CA-414C-B52A-C7C3C236A8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68-400E-B7C8-831B11434695}"/>
                </c:ext>
              </c:extLst>
            </c:dLbl>
            <c:dLbl>
              <c:idx val="5"/>
              <c:tx>
                <c:rich>
                  <a:bodyPr/>
                  <a:lstStyle/>
                  <a:p>
                    <a:fld id="{C46EBD93-DEE8-48A7-A4ED-96B0635EA3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68-400E-B7C8-831B11434695}"/>
                </c:ext>
              </c:extLst>
            </c:dLbl>
            <c:dLbl>
              <c:idx val="6"/>
              <c:tx>
                <c:rich>
                  <a:bodyPr/>
                  <a:lstStyle/>
                  <a:p>
                    <a:fld id="{55266ECE-4762-4D8B-ABA2-669C8B3A7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68-400E-B7C8-831B11434695}"/>
                </c:ext>
              </c:extLst>
            </c:dLbl>
            <c:dLbl>
              <c:idx val="7"/>
              <c:layout>
                <c:manualLayout>
                  <c:x val="-4.1063242358697585E-2"/>
                  <c:y val="2.8282828282828285E-2"/>
                </c:manualLayout>
              </c:layout>
              <c:tx>
                <c:rich>
                  <a:bodyPr/>
                  <a:lstStyle/>
                  <a:p>
                    <a:fld id="{3D78AF18-14DE-4DA5-B25A-2252CD0F9B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Data'!$L$12:$L$19</c:f>
              <c:numCache>
                <c:formatCode>General</c:formatCode>
                <c:ptCount val="8"/>
                <c:pt idx="0">
                  <c:v>135</c:v>
                </c:pt>
                <c:pt idx="1">
                  <c:v>180</c:v>
                </c:pt>
                <c:pt idx="2">
                  <c:v>161</c:v>
                </c:pt>
                <c:pt idx="3">
                  <c:v>170</c:v>
                </c:pt>
                <c:pt idx="4">
                  <c:v>116</c:v>
                </c:pt>
                <c:pt idx="5">
                  <c:v>154</c:v>
                </c:pt>
                <c:pt idx="6">
                  <c:v>143</c:v>
                </c:pt>
                <c:pt idx="7">
                  <c:v>168</c:v>
                </c:pt>
              </c:numCache>
            </c:numRef>
          </c:xVal>
          <c:yVal>
            <c:numRef>
              <c:f>'July 2023 Data'!$K$12:$K$19</c:f>
              <c:numCache>
                <c:formatCode>General</c:formatCode>
                <c:ptCount val="8"/>
                <c:pt idx="0">
                  <c:v>174</c:v>
                </c:pt>
                <c:pt idx="1">
                  <c:v>185</c:v>
                </c:pt>
                <c:pt idx="2">
                  <c:v>184</c:v>
                </c:pt>
                <c:pt idx="3">
                  <c:v>179</c:v>
                </c:pt>
                <c:pt idx="4">
                  <c:v>171</c:v>
                </c:pt>
                <c:pt idx="5">
                  <c:v>180</c:v>
                </c:pt>
                <c:pt idx="6">
                  <c:v>175</c:v>
                </c:pt>
                <c:pt idx="7">
                  <c:v>189</c:v>
                </c:pt>
              </c:numCache>
            </c:numRef>
          </c:yVal>
          <c:smooth val="0"/>
          <c:extLst>
            <c:ext xmlns:c15="http://schemas.microsoft.com/office/drawing/2012/chart" uri="{02D57815-91ED-43cb-92C2-25804820EDAC}">
              <c15:datalabelsRange>
                <c15:f>'July 2023 Data'!$A$12:$A$19</c15:f>
                <c15:dlblRangeCache>
                  <c:ptCount val="8"/>
                  <c:pt idx="0">
                    <c:v>Tobizaru</c:v>
                  </c:pt>
                  <c:pt idx="1">
                    <c:v>Nishikigi</c:v>
                  </c:pt>
                  <c:pt idx="2">
                    <c:v>Shodai</c:v>
                  </c:pt>
                  <c:pt idx="3">
                    <c:v>Mitakeumi</c:v>
                  </c:pt>
                  <c:pt idx="4">
                    <c:v>Midorifuji</c:v>
                  </c:pt>
                  <c:pt idx="5">
                    <c:v>Meisei</c:v>
                  </c:pt>
                  <c:pt idx="6">
                    <c:v>Ura</c:v>
                  </c:pt>
                  <c:pt idx="7">
                    <c:v>Asanoyama</c:v>
                  </c:pt>
                </c15:dlblRangeCache>
              </c15:datalabelsRange>
            </c:ext>
            <c:ext xmlns:c16="http://schemas.microsoft.com/office/drawing/2014/chart" uri="{C3380CC4-5D6E-409C-BE32-E72D297353CC}">
              <c16:uniqueId val="{00000015-B068-400E-B7C8-831B11434695}"/>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tx>
                <c:rich>
                  <a:bodyPr/>
                  <a:lstStyle/>
                  <a:p>
                    <a:fld id="{321597EA-0A9A-486F-8443-58F139CE86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068-400E-B7C8-831B11434695}"/>
                </c:ext>
              </c:extLst>
            </c:dLbl>
            <c:dLbl>
              <c:idx val="1"/>
              <c:tx>
                <c:rich>
                  <a:bodyPr/>
                  <a:lstStyle/>
                  <a:p>
                    <a:fld id="{1C5B0A94-1E21-49B8-9840-5302ED0158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068-400E-B7C8-831B11434695}"/>
                </c:ext>
              </c:extLst>
            </c:dLbl>
            <c:dLbl>
              <c:idx val="2"/>
              <c:tx>
                <c:rich>
                  <a:bodyPr/>
                  <a:lstStyle/>
                  <a:p>
                    <a:fld id="{FDE55EC8-1B3B-4479-B983-739D75B60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068-400E-B7C8-831B11434695}"/>
                </c:ext>
              </c:extLst>
            </c:dLbl>
            <c:dLbl>
              <c:idx val="3"/>
              <c:layout>
                <c:manualLayout>
                  <c:x val="-1.0265810589674504E-2"/>
                  <c:y val="-1.0101010101010175E-2"/>
                </c:manualLayout>
              </c:layout>
              <c:tx>
                <c:rich>
                  <a:bodyPr/>
                  <a:lstStyle/>
                  <a:p>
                    <a:fld id="{8C606478-6380-4535-A45D-7AD709886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B068-400E-B7C8-831B11434695}"/>
                </c:ext>
              </c:extLst>
            </c:dLbl>
            <c:dLbl>
              <c:idx val="4"/>
              <c:tx>
                <c:rich>
                  <a:bodyPr/>
                  <a:lstStyle/>
                  <a:p>
                    <a:fld id="{C8B91108-3E19-465A-B4DE-6B13789F4D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068-400E-B7C8-831B11434695}"/>
                </c:ext>
              </c:extLst>
            </c:dLbl>
            <c:dLbl>
              <c:idx val="5"/>
              <c:layout>
                <c:manualLayout>
                  <c:x val="-2.7864343029116216E-2"/>
                  <c:y val="2.8282828282828285E-2"/>
                </c:manualLayout>
              </c:layout>
              <c:tx>
                <c:rich>
                  <a:bodyPr/>
                  <a:lstStyle/>
                  <a:p>
                    <a:fld id="{88D6A502-85E0-4C2E-80B9-01B34D92AE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B068-400E-B7C8-831B11434695}"/>
                </c:ext>
              </c:extLst>
            </c:dLbl>
            <c:dLbl>
              <c:idx val="6"/>
              <c:layout>
                <c:manualLayout>
                  <c:x val="-4.3996331098604499E-2"/>
                  <c:y val="1.8181818181818108E-2"/>
                </c:manualLayout>
              </c:layout>
              <c:tx>
                <c:rich>
                  <a:bodyPr/>
                  <a:lstStyle/>
                  <a:p>
                    <a:fld id="{52066F19-76FE-45E8-A0B0-FC5E106553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B068-400E-B7C8-831B11434695}"/>
                </c:ext>
              </c:extLst>
            </c:dLbl>
            <c:dLbl>
              <c:idx val="7"/>
              <c:tx>
                <c:rich>
                  <a:bodyPr/>
                  <a:lstStyle/>
                  <a:p>
                    <a:fld id="{F17C82F5-1176-41EA-A5DE-AB806850C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Data'!$L$20:$L$27</c:f>
              <c:numCache>
                <c:formatCode>General</c:formatCode>
                <c:ptCount val="8"/>
                <c:pt idx="0">
                  <c:v>165</c:v>
                </c:pt>
                <c:pt idx="1">
                  <c:v>135</c:v>
                </c:pt>
                <c:pt idx="2">
                  <c:v>185</c:v>
                </c:pt>
                <c:pt idx="3">
                  <c:v>179</c:v>
                </c:pt>
                <c:pt idx="4">
                  <c:v>183</c:v>
                </c:pt>
                <c:pt idx="5">
                  <c:v>174</c:v>
                </c:pt>
                <c:pt idx="6">
                  <c:v>149</c:v>
                </c:pt>
                <c:pt idx="7">
                  <c:v>142</c:v>
                </c:pt>
              </c:numCache>
            </c:numRef>
          </c:xVal>
          <c:yVal>
            <c:numRef>
              <c:f>'July 2023 Data'!$K$20:$K$27</c:f>
              <c:numCache>
                <c:formatCode>General</c:formatCode>
                <c:ptCount val="8"/>
                <c:pt idx="0">
                  <c:v>177</c:v>
                </c:pt>
                <c:pt idx="1">
                  <c:v>177</c:v>
                </c:pt>
                <c:pt idx="2">
                  <c:v>204</c:v>
                </c:pt>
                <c:pt idx="3">
                  <c:v>190</c:v>
                </c:pt>
                <c:pt idx="4">
                  <c:v>188</c:v>
                </c:pt>
                <c:pt idx="5">
                  <c:v>189</c:v>
                </c:pt>
                <c:pt idx="6">
                  <c:v>184</c:v>
                </c:pt>
                <c:pt idx="7">
                  <c:v>182</c:v>
                </c:pt>
              </c:numCache>
            </c:numRef>
          </c:yVal>
          <c:smooth val="0"/>
          <c:extLst>
            <c:ext xmlns:c15="http://schemas.microsoft.com/office/drawing/2012/chart" uri="{02D57815-91ED-43cb-92C2-25804820EDAC}">
              <c15:datalabelsRange>
                <c15:f>'July 2023 Data'!$A$20:$A$27</c15:f>
                <c15:dlblRangeCache>
                  <c:ptCount val="8"/>
                  <c:pt idx="0">
                    <c:v>Onosho</c:v>
                  </c:pt>
                  <c:pt idx="1">
                    <c:v>Hiradoumi</c:v>
                  </c:pt>
                  <c:pt idx="2">
                    <c:v>Hokuseiho</c:v>
                  </c:pt>
                  <c:pt idx="3">
                    <c:v>Oho</c:v>
                  </c:pt>
                  <c:pt idx="4">
                    <c:v>Takayasu</c:v>
                  </c:pt>
                  <c:pt idx="5">
                    <c:v>Tamawashi</c:v>
                  </c:pt>
                  <c:pt idx="6">
                    <c:v>Nishikifuji</c:v>
                  </c:pt>
                  <c:pt idx="7">
                    <c:v>Sadanoumi</c:v>
                  </c:pt>
                </c15:dlblRangeCache>
              </c15:datalabelsRange>
            </c:ext>
            <c:ext xmlns:c16="http://schemas.microsoft.com/office/drawing/2014/chart" uri="{C3380CC4-5D6E-409C-BE32-E72D297353CC}">
              <c16:uniqueId val="{00000033-B068-400E-B7C8-831B11434695}"/>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layout>
                <c:manualLayout>
                  <c:x val="-3.373052050893021E-2"/>
                  <c:y val="2.424242424242417E-2"/>
                </c:manualLayout>
              </c:layout>
              <c:tx>
                <c:rich>
                  <a:bodyPr/>
                  <a:lstStyle/>
                  <a:p>
                    <a:fld id="{1CF076ED-7C2D-47A6-85CF-378D29AD43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B068-400E-B7C8-831B11434695}"/>
                </c:ext>
              </c:extLst>
            </c:dLbl>
            <c:dLbl>
              <c:idx val="1"/>
              <c:tx>
                <c:rich>
                  <a:bodyPr/>
                  <a:lstStyle/>
                  <a:p>
                    <a:fld id="{392050D3-D846-4815-B7F0-696D6E14D7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068-400E-B7C8-831B11434695}"/>
                </c:ext>
              </c:extLst>
            </c:dLbl>
            <c:dLbl>
              <c:idx val="2"/>
              <c:tx>
                <c:rich>
                  <a:bodyPr/>
                  <a:lstStyle/>
                  <a:p>
                    <a:fld id="{0373E690-DC00-4F98-A8A8-52CF4B505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B068-400E-B7C8-831B11434695}"/>
                </c:ext>
              </c:extLst>
            </c:dLbl>
            <c:dLbl>
              <c:idx val="3"/>
              <c:tx>
                <c:rich>
                  <a:bodyPr/>
                  <a:lstStyle/>
                  <a:p>
                    <a:fld id="{23C57EEC-0C48-42AF-9393-67325EBE4C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B068-400E-B7C8-831B11434695}"/>
                </c:ext>
              </c:extLst>
            </c:dLbl>
            <c:dLbl>
              <c:idx val="4"/>
              <c:tx>
                <c:rich>
                  <a:bodyPr/>
                  <a:lstStyle/>
                  <a:p>
                    <a:fld id="{26B477CD-C5C9-41EF-BFFD-5A051DFD99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068-400E-B7C8-831B11434695}"/>
                </c:ext>
              </c:extLst>
            </c:dLbl>
            <c:dLbl>
              <c:idx val="5"/>
              <c:layout>
                <c:manualLayout>
                  <c:x val="-2.9330887399069704E-2"/>
                  <c:y val="2.8282828282828285E-2"/>
                </c:manualLayout>
              </c:layout>
              <c:tx>
                <c:rich>
                  <a:bodyPr/>
                  <a:lstStyle/>
                  <a:p>
                    <a:fld id="{71B09F83-9DE5-4EDF-9062-AE1C8D44C9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B068-400E-B7C8-831B11434695}"/>
                </c:ext>
              </c:extLst>
            </c:dLbl>
            <c:dLbl>
              <c:idx val="6"/>
              <c:layout>
                <c:manualLayout>
                  <c:x val="-2.4931254289209274E-2"/>
                  <c:y val="2.2222222222222223E-2"/>
                </c:manualLayout>
              </c:layout>
              <c:tx>
                <c:rich>
                  <a:bodyPr/>
                  <a:lstStyle/>
                  <a:p>
                    <a:fld id="{54ED5384-60F1-4C03-BACE-725366717D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B068-400E-B7C8-831B11434695}"/>
                </c:ext>
              </c:extLst>
            </c:dLbl>
            <c:dLbl>
              <c:idx val="7"/>
              <c:tx>
                <c:rich>
                  <a:bodyPr/>
                  <a:lstStyle/>
                  <a:p>
                    <a:fld id="{66EF3734-F4A7-4A01-BFD1-BC7360E057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Data'!$L$28:$L$35</c:f>
              <c:numCache>
                <c:formatCode>General</c:formatCode>
                <c:ptCount val="8"/>
                <c:pt idx="0">
                  <c:v>158</c:v>
                </c:pt>
                <c:pt idx="1">
                  <c:v>170</c:v>
                </c:pt>
                <c:pt idx="2">
                  <c:v>181</c:v>
                </c:pt>
                <c:pt idx="3">
                  <c:v>156</c:v>
                </c:pt>
                <c:pt idx="4">
                  <c:v>133</c:v>
                </c:pt>
                <c:pt idx="5">
                  <c:v>194</c:v>
                </c:pt>
                <c:pt idx="6">
                  <c:v>132</c:v>
                </c:pt>
                <c:pt idx="7">
                  <c:v>137</c:v>
                </c:pt>
              </c:numCache>
            </c:numRef>
          </c:xVal>
          <c:yVal>
            <c:numRef>
              <c:f>'July 2023 Data'!$K$28:$K$35</c:f>
              <c:numCache>
                <c:formatCode>General</c:formatCode>
                <c:ptCount val="8"/>
                <c:pt idx="0">
                  <c:v>184</c:v>
                </c:pt>
                <c:pt idx="1">
                  <c:v>183</c:v>
                </c:pt>
                <c:pt idx="2">
                  <c:v>192</c:v>
                </c:pt>
                <c:pt idx="3">
                  <c:v>188</c:v>
                </c:pt>
                <c:pt idx="4">
                  <c:v>176</c:v>
                </c:pt>
                <c:pt idx="5">
                  <c:v>185</c:v>
                </c:pt>
                <c:pt idx="6">
                  <c:v>182</c:v>
                </c:pt>
                <c:pt idx="7">
                  <c:v>184</c:v>
                </c:pt>
              </c:numCache>
            </c:numRef>
          </c:yVal>
          <c:smooth val="0"/>
          <c:extLst>
            <c:ext xmlns:c15="http://schemas.microsoft.com/office/drawing/2012/chart" uri="{02D57815-91ED-43cb-92C2-25804820EDAC}">
              <c15:datalabelsRange>
                <c15:f>'July 2023 Data'!$A$28:$A$35</c15:f>
                <c15:dlblRangeCache>
                  <c:ptCount val="8"/>
                  <c:pt idx="0">
                    <c:v>Hokutofuji</c:v>
                  </c:pt>
                  <c:pt idx="1">
                    <c:v>Takanosho</c:v>
                  </c:pt>
                  <c:pt idx="2">
                    <c:v>Kinbozan</c:v>
                  </c:pt>
                  <c:pt idx="3">
                    <c:v>Myogiryu</c:v>
                  </c:pt>
                  <c:pt idx="4">
                    <c:v>Kotoeko</c:v>
                  </c:pt>
                  <c:pt idx="5">
                    <c:v>Tsurugisho</c:v>
                  </c:pt>
                  <c:pt idx="6">
                    <c:v>Wakatakakage</c:v>
                  </c:pt>
                  <c:pt idx="7">
                    <c:v>Chiyoshoma</c:v>
                  </c:pt>
                </c15:dlblRangeCache>
              </c15:datalabelsRange>
            </c:ext>
            <c:ext xmlns:c16="http://schemas.microsoft.com/office/drawing/2014/chart" uri="{C3380CC4-5D6E-409C-BE32-E72D297353CC}">
              <c16:uniqueId val="{00000034-B068-400E-B7C8-831B11434695}"/>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tx>
                <c:rich>
                  <a:bodyPr/>
                  <a:lstStyle/>
                  <a:p>
                    <a:fld id="{36873553-C7C9-4D47-B07B-D35D940D03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068-400E-B7C8-831B11434695}"/>
                </c:ext>
              </c:extLst>
            </c:dLbl>
            <c:dLbl>
              <c:idx val="1"/>
              <c:tx>
                <c:rich>
                  <a:bodyPr/>
                  <a:lstStyle/>
                  <a:p>
                    <a:fld id="{26F1FC14-E30D-437F-8269-B82F58877A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068-400E-B7C8-831B11434695}"/>
                </c:ext>
              </c:extLst>
            </c:dLbl>
            <c:dLbl>
              <c:idx val="2"/>
              <c:layout>
                <c:manualLayout>
                  <c:x val="0"/>
                  <c:y val="-3.0303030303030304E-2"/>
                </c:manualLayout>
              </c:layout>
              <c:tx>
                <c:rich>
                  <a:bodyPr/>
                  <a:lstStyle/>
                  <a:p>
                    <a:fld id="{61D527D7-F78D-406F-A1A5-98E3DEA67E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068-400E-B7C8-831B11434695}"/>
                </c:ext>
              </c:extLst>
            </c:dLbl>
            <c:dLbl>
              <c:idx val="3"/>
              <c:tx>
                <c:rich>
                  <a:bodyPr/>
                  <a:lstStyle/>
                  <a:p>
                    <a:fld id="{6A4AB0AB-8961-414F-8556-EC79CCCC15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068-400E-B7C8-831B11434695}"/>
                </c:ext>
              </c:extLst>
            </c:dLbl>
            <c:dLbl>
              <c:idx val="4"/>
              <c:layout>
                <c:manualLayout>
                  <c:x val="-3.0797431769023241E-2"/>
                  <c:y val="-2.2222222222222223E-2"/>
                </c:manualLayout>
              </c:layout>
              <c:tx>
                <c:rich>
                  <a:bodyPr/>
                  <a:lstStyle/>
                  <a:p>
                    <a:fld id="{E79C0A30-430B-4BDC-89D9-9AC2F77E8A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B068-400E-B7C8-831B11434695}"/>
                </c:ext>
              </c:extLst>
            </c:dLbl>
            <c:dLbl>
              <c:idx val="5"/>
              <c:tx>
                <c:rich>
                  <a:bodyPr/>
                  <a:lstStyle/>
                  <a:p>
                    <a:fld id="{C712CC13-0EBC-4B27-A334-3B53FF01D1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068-400E-B7C8-831B11434695}"/>
                </c:ext>
              </c:extLst>
            </c:dLbl>
            <c:dLbl>
              <c:idx val="6"/>
              <c:layout>
                <c:manualLayout>
                  <c:x val="-1.4665443699535389E-3"/>
                  <c:y val="-6.0606060606061343E-3"/>
                </c:manualLayout>
              </c:layout>
              <c:tx>
                <c:rich>
                  <a:bodyPr/>
                  <a:lstStyle/>
                  <a:p>
                    <a:fld id="{EF70314C-B514-40E1-9E77-C7F79166DE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068-400E-B7C8-831B11434695}"/>
                </c:ext>
              </c:extLst>
            </c:dLbl>
            <c:dLbl>
              <c:idx val="7"/>
              <c:tx>
                <c:rich>
                  <a:bodyPr/>
                  <a:lstStyle/>
                  <a:p>
                    <a:fld id="{869D2F04-63EF-462E-A67B-E2E8CDDD7E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068-400E-B7C8-831B11434695}"/>
                </c:ext>
              </c:extLst>
            </c:dLbl>
            <c:dLbl>
              <c:idx val="8"/>
              <c:tx>
                <c:rich>
                  <a:bodyPr/>
                  <a:lstStyle/>
                  <a:p>
                    <a:fld id="{93FAF30F-ACAD-4ACC-8183-AD200857E2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068-400E-B7C8-831B11434695}"/>
                </c:ext>
              </c:extLst>
            </c:dLbl>
            <c:dLbl>
              <c:idx val="9"/>
              <c:layout>
                <c:manualLayout>
                  <c:x val="-5.8661774798139405E-3"/>
                  <c:y val="1.2121212121212196E-2"/>
                </c:manualLayout>
              </c:layout>
              <c:tx>
                <c:rich>
                  <a:bodyPr/>
                  <a:lstStyle/>
                  <a:p>
                    <a:fld id="{2508CE4A-4F0D-452F-9B20-449D79B7B9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Data'!$L$36:$L$45</c:f>
              <c:numCache>
                <c:formatCode>General</c:formatCode>
                <c:ptCount val="10"/>
                <c:pt idx="0">
                  <c:v>161</c:v>
                </c:pt>
                <c:pt idx="1">
                  <c:v>154</c:v>
                </c:pt>
                <c:pt idx="2">
                  <c:v>196</c:v>
                </c:pt>
                <c:pt idx="3">
                  <c:v>186</c:v>
                </c:pt>
                <c:pt idx="4">
                  <c:v>155</c:v>
                </c:pt>
                <c:pt idx="5">
                  <c:v>171</c:v>
                </c:pt>
                <c:pt idx="6">
                  <c:v>150</c:v>
                </c:pt>
                <c:pt idx="7">
                  <c:v>171</c:v>
                </c:pt>
                <c:pt idx="8">
                  <c:v>186</c:v>
                </c:pt>
                <c:pt idx="9">
                  <c:v>162</c:v>
                </c:pt>
              </c:numCache>
            </c:numRef>
          </c:xVal>
          <c:yVal>
            <c:numRef>
              <c:f>'July 2023 Data'!$K$36:$K$45</c:f>
              <c:numCache>
                <c:formatCode>General</c:formatCode>
                <c:ptCount val="10"/>
                <c:pt idx="0">
                  <c:v>191</c:v>
                </c:pt>
                <c:pt idx="1">
                  <c:v>177</c:v>
                </c:pt>
                <c:pt idx="2">
                  <c:v>185</c:v>
                </c:pt>
                <c:pt idx="3">
                  <c:v>193</c:v>
                </c:pt>
                <c:pt idx="4">
                  <c:v>188</c:v>
                </c:pt>
                <c:pt idx="5">
                  <c:v>186</c:v>
                </c:pt>
                <c:pt idx="6">
                  <c:v>184</c:v>
                </c:pt>
                <c:pt idx="7">
                  <c:v>171</c:v>
                </c:pt>
                <c:pt idx="8">
                  <c:v>191</c:v>
                </c:pt>
                <c:pt idx="9">
                  <c:v>181</c:v>
                </c:pt>
              </c:numCache>
            </c:numRef>
          </c:yVal>
          <c:smooth val="0"/>
          <c:extLst>
            <c:ext xmlns:c15="http://schemas.microsoft.com/office/drawing/2012/chart" uri="{02D57815-91ED-43cb-92C2-25804820EDAC}">
              <c15:datalabelsRange>
                <c15:f>'July 2023 Data'!$A$36:$A$45</c15:f>
                <c15:dlblRangeCache>
                  <c:ptCount val="10"/>
                  <c:pt idx="0">
                    <c:v>Kotoshoho</c:v>
                  </c:pt>
                  <c:pt idx="1">
                    <c:v>Gonoyama</c:v>
                  </c:pt>
                  <c:pt idx="2">
                    <c:v>Daishoho</c:v>
                  </c:pt>
                  <c:pt idx="3">
                    <c:v>Shonannoumi</c:v>
                  </c:pt>
                  <c:pt idx="4">
                    <c:v>Ryuden</c:v>
                  </c:pt>
                  <c:pt idx="5">
                    <c:v>Takarafuji</c:v>
                  </c:pt>
                  <c:pt idx="6">
                    <c:v>Endo</c:v>
                  </c:pt>
                  <c:pt idx="7">
                    <c:v>Bushozan</c:v>
                  </c:pt>
                  <c:pt idx="8">
                    <c:v>Aoiyama</c:v>
                  </c:pt>
                  <c:pt idx="9">
                    <c:v>Hakuoho</c:v>
                  </c:pt>
                </c15:dlblRangeCache>
              </c15:datalabelsRange>
            </c:ext>
            <c:ext xmlns:c16="http://schemas.microsoft.com/office/drawing/2014/chart" uri="{C3380CC4-5D6E-409C-BE32-E72D297353CC}">
              <c16:uniqueId val="{00000031-B068-400E-B7C8-831B11434695}"/>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7.6658699212096157E-2"/>
          <c:h val="0.27272918157957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D4675246-348C-483A-BEE6-E3224462E7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ED1DD250-092A-4934-9988-EE68389F48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7A6E04EC-9F68-4EBA-B8F6-C8C4D7B55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5E831B3A-2558-4E0B-93DC-8E108E27D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FDDA6788-850E-451F-89BF-5E8F2C80F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86ED28F3-8942-4CF6-A6B6-85EE760FEB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510EEAA1-4005-4C71-AE8A-4298427974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3B0DC01A-DE98-4429-8945-B9E559731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C7308FC4-8736-4AF7-8D59-4150E7042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9AB558D0-0E50-46D1-834E-47732F5106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7392475F-FB9C-49DD-9923-B222A63458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F42235A3-B6A0-4398-BA26-E9AAE2C4E8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7333D759-C015-4EE0-BE76-DAB5B09CC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B8E08282-2262-4F65-814E-73A44A790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7A08B27B-B730-4285-8D4E-3C2ABC8C0C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7D0F26E1-AABA-4E3E-97AD-21E473F291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DA15BB4D-8CCA-469E-9E2E-82D13BFE7F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2E991975-19A0-4B86-B1F2-6A2736D61D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C4BBC657-B671-4A4D-8750-97DAE24BC3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7E209979-B694-4320-95B5-2D6B073A68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B9B5BD80-9716-4E0E-8CA0-D79DCD431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2A557C3D-CC04-4DA0-84C6-07294B1BE7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7598C20C-DF91-4DC3-9A15-DB5275626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E71069F1-E2F4-4813-93AF-C823E23226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01F88328-7DB4-422B-8AAB-19D85DA40E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3B70B91C-C4C3-4B26-AD95-128A92D758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78F9D922-EAD8-4E54-BB0E-1E264016A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FF305CD2-95DA-4368-BB6C-EB04F92CE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2A878C2D-EE01-4436-8A63-54EE9E8BC3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D0AC9223-2772-427F-B16C-B0F108007D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A2F206AD-CD91-4937-BDA7-B95597E33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84D53BC1-0D42-4F08-A24F-BF5D308A12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0DA19184-E325-485D-9B5F-3C394CD58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6BFCEDF1-6985-4F2D-A77A-A13B34EF6F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F5E88F82-9ED5-4207-8CF6-60DD6CD11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30AC6C8F-08E6-4AB5-9C78-EA8F6C52E1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F9BBDAA8-06D3-493F-913E-1EBB82755F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EEC82432-C0CD-4482-A89F-46414D88E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32DA2EC7-8E33-479C-B6EC-023929C920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4BAA714A-AE86-4C17-B9D6-0A91379030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9F6D1F31-3215-44FF-A17D-F7CE1F0573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AC6ADB41-34CC-4992-AE5B-92630D3C0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279EEBD9-C8E6-4166-8E92-BC4F7C3A3F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2E01C14A-63C1-4DFE-BEC6-979CCC0A1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B5F12361-C868-41BD-800A-5E1EE9D55D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7D918DCA-89F9-454F-B4F0-15A09F59ED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D7092867-9803-46AF-8ECD-F9B0751D66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2F7ADF34-8681-46D1-B80E-772A566B2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B08081E2-1986-4301-AB2F-3FDFA69A46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A8849620-4F6F-4F18-900A-C423B9CE17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3123E1F8-70A7-47DC-A10B-AAC7904B3F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0AABFE70-01C9-48E5-BA7E-ED23D7A37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1BCE775A-4A3D-41B6-9CD1-5612AB4027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6B1C1B23-30DE-4A67-8ECF-0C1C817268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10B0E6F4-8F06-4705-AC84-33BA2AED3A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7E3CB897-F88D-4E88-A676-A7F860CBD1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0D757D76-5C08-4ABD-9EC0-66D12A5A91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243F3726-DBF0-49BF-8BAC-E12EF17D29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0295608A-47C7-47E4-B576-4E7ED4738A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F96DBE29-FD7C-481D-862B-6751867BC7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D7336DB9-C160-426F-97C2-358097666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57E783A0-6414-4204-91D8-FB4935A512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96EC3284-5D66-4AD8-98F9-700BA3E77D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93E3E093-36E7-4CDE-9F29-232EA85FBF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AB71ABE1-6567-4E6F-9178-A3240F7C86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E8AAF4A5-8A72-4F7B-92A1-1A21CFB1A6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D6BD6EA2-700D-4A1E-8228-14610CCC84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01449632-0404-4503-AF67-D97A7D34B322}"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6BCA5C5D-E151-4DD2-882D-B4A077B63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483AC6AD-55F2-442D-88AD-44DDB05B0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xmlns:c15="http://schemas.microsoft.com/office/drawing/2012/char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xmlns:c15="http://schemas.microsoft.com/office/drawing/2012/char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E70C51BB-BF5E-4D56-ABDF-ED2DB066E3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2AD14BDE-FA40-4F8C-92F5-BFCBA5C81CA8}"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9A093DBA-BEE8-4AD8-B757-864FF8FC1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xmlns:c15="http://schemas.microsoft.com/office/drawing/2012/char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xmlns:c15="http://schemas.microsoft.com/office/drawing/2012/char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BE0D7757-27F9-4DC6-B462-D3BB6F0677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523F5E99-2E83-49A5-83AB-0FD6D7D0351E}"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64232D7E-721C-4F75-A6C4-C8241F7BAF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756BC264-663A-4F2C-AC78-6CEA5BBB89DA}"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xmlns:c15="http://schemas.microsoft.com/office/drawing/2012/char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xmlns:c15="http://schemas.microsoft.com/office/drawing/2012/char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FEB79F28-A3F7-4A45-AE19-27F7F316A5F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1F36EEB3-8D99-4F14-BAF5-E535E9314C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83C9C13C-1E90-4C34-9C31-D9D11F85E0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F4D8325D-A319-4E72-8C56-AE24A3F18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938D12B0-9C45-4AA2-8207-574015E9CE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4A6DF925-AA9E-46BB-81DA-70284DCF22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824B0781-5327-4011-89A9-97660A0B8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19834EA8-DF69-4831-8DD5-377A3D1512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xmlns:c15="http://schemas.microsoft.com/office/drawing/2012/char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xmlns:c15="http://schemas.microsoft.com/office/drawing/2012/char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C78D3258-44D4-4A3A-9CA8-8DC1B313F29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48C89F47-F8D2-441B-BC06-AEB00DA259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A3011A9C-8CBB-42B7-B49F-677E7762B99D}"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134852C7-4819-4AD4-9E25-66AC444F071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30BDE407-B27B-4851-9F08-693E75D43A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875EBE86-AB38-4C42-8556-8E361B98FF71}"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0E8EE205-9F80-44D0-BDED-635F8402A8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A96449C7-CC65-4564-843F-92362E678D78}"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xmlns:c15="http://schemas.microsoft.com/office/drawing/2012/char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xmlns:c15="http://schemas.microsoft.com/office/drawing/2012/char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January 2023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9.8258472786883502E-2"/>
                  <c:y val="-1.6202531645569639E-2"/>
                </c:manualLayout>
              </c:layout>
              <c:tx>
                <c:rich>
                  <a:bodyPr/>
                  <a:lstStyle/>
                  <a:p>
                    <a:fld id="{4B58BC4F-AB74-4F4F-96ED-498254219C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'January 2023 Data'!$H$4</c:f>
              <c:numCache>
                <c:formatCode>General</c:formatCode>
                <c:ptCount val="1"/>
                <c:pt idx="0">
                  <c:v>192</c:v>
                </c:pt>
              </c:numCache>
            </c:numRef>
          </c:yVal>
          <c:smooth val="0"/>
          <c:extLst>
            <c:ext xmlns:c15="http://schemas.microsoft.com/office/drawing/2012/chart" uri="{02D57815-91ED-43cb-92C2-25804820EDAC}">
              <c15:datalabelsRange>
                <c15:f>'January 2023 Data'!$A$4</c15:f>
                <c15:dlblRangeCache>
                  <c:ptCount val="1"/>
                  <c:pt idx="0">
                    <c:v>Terunofuji</c:v>
                  </c:pt>
                </c15:dlblRangeCache>
              </c15:datalabelsRange>
            </c:ext>
            <c:ext xmlns:c16="http://schemas.microsoft.com/office/drawing/2014/chart" uri="{C3380CC4-5D6E-409C-BE32-E72D297353CC}">
              <c16:uniqueId val="{00000001-4ACB-455E-9A96-A98653FFCF61}"/>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15314691-C80B-4F33-8D36-78FB3BA56D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Data'!$I$5</c:f>
              <c:numCache>
                <c:formatCode>General</c:formatCode>
                <c:ptCount val="1"/>
                <c:pt idx="0">
                  <c:v>165</c:v>
                </c:pt>
              </c:numCache>
            </c:numRef>
          </c:xVal>
          <c:yVal>
            <c:numRef>
              <c:f>'January 2023 Data'!$H$5</c:f>
              <c:numCache>
                <c:formatCode>General</c:formatCode>
                <c:ptCount val="1"/>
                <c:pt idx="0">
                  <c:v>175</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3-4ACB-455E-9A96-A98653FFCF61}"/>
            </c:ext>
          </c:extLst>
        </c:ser>
        <c:ser>
          <c:idx val="2"/>
          <c:order val="2"/>
          <c:tx>
            <c:strRef>
              <c:f>'September 2022 Data'!$C$8</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299F1307-4132-4333-B1D4-6C1DA2A94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B-455E-9A96-A98653FFCF61}"/>
                </c:ext>
              </c:extLst>
            </c:dLbl>
            <c:dLbl>
              <c:idx val="1"/>
              <c:layout>
                <c:manualLayout>
                  <c:x val="-0.12465627144604627"/>
                  <c:y val="4.0506329113924053E-3"/>
                </c:manualLayout>
              </c:layout>
              <c:tx>
                <c:rich>
                  <a:bodyPr/>
                  <a:lstStyle/>
                  <a:p>
                    <a:fld id="{CAA7EA77-1256-42A7-BF0D-D265406489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CB-455E-9A96-A98653FFCF61}"/>
                </c:ext>
              </c:extLst>
            </c:dLbl>
            <c:dLbl>
              <c:idx val="2"/>
              <c:layout>
                <c:manualLayout>
                  <c:x val="-1.4665443699534906E-2"/>
                  <c:y val="2.8354430379746835E-2"/>
                </c:manualLayout>
              </c:layout>
              <c:tx>
                <c:rich>
                  <a:bodyPr/>
                  <a:lstStyle/>
                  <a:p>
                    <a:fld id="{86E72FC5-839D-485C-AC49-E25A4B9A8A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B-455E-9A96-A98653FFCF61}"/>
                </c:ext>
              </c:extLst>
            </c:dLbl>
            <c:dLbl>
              <c:idx val="3"/>
              <c:tx>
                <c:rich>
                  <a:bodyPr/>
                  <a:lstStyle/>
                  <a:p>
                    <a:fld id="{7EA88B84-E820-4DA0-AFE5-F9266A0AB6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Data'!$I$6:$I$9</c:f>
              <c:numCache>
                <c:formatCode>General</c:formatCode>
                <c:ptCount val="4"/>
                <c:pt idx="0">
                  <c:v>163</c:v>
                </c:pt>
                <c:pt idx="1">
                  <c:v>135</c:v>
                </c:pt>
                <c:pt idx="2">
                  <c:v>146</c:v>
                </c:pt>
                <c:pt idx="3">
                  <c:v>182</c:v>
                </c:pt>
              </c:numCache>
            </c:numRef>
          </c:xVal>
          <c:yVal>
            <c:numRef>
              <c:f>'January 2023 Data'!$H$6:$H$9</c:f>
              <c:numCache>
                <c:formatCode>General</c:formatCode>
                <c:ptCount val="4"/>
                <c:pt idx="0">
                  <c:v>183</c:v>
                </c:pt>
                <c:pt idx="1">
                  <c:v>183</c:v>
                </c:pt>
                <c:pt idx="2">
                  <c:v>185</c:v>
                </c:pt>
                <c:pt idx="3">
                  <c:v>186</c:v>
                </c:pt>
              </c:numCache>
            </c:numRef>
          </c:yVal>
          <c:smooth val="0"/>
          <c:extLst>
            <c:ext xmlns:c15="http://schemas.microsoft.com/office/drawing/2012/chart" uri="{02D57815-91ED-43cb-92C2-25804820EDAC}">
              <c15:datalabelsRange>
                <c15:f>'January 2023 Data'!$A$6:$A$9</c15:f>
                <c15:dlblRangeCache>
                  <c:ptCount val="4"/>
                  <c:pt idx="0">
                    <c:v>Shodai</c:v>
                  </c:pt>
                  <c:pt idx="1">
                    <c:v>Wakatakakage</c:v>
                  </c:pt>
                  <c:pt idx="2">
                    <c:v>Hoshoryu</c:v>
                  </c:pt>
                  <c:pt idx="3">
                    <c:v>Takayasu</c:v>
                  </c:pt>
                </c15:dlblRangeCache>
              </c15:datalabelsRange>
            </c:ext>
            <c:ext xmlns:c16="http://schemas.microsoft.com/office/drawing/2014/chart" uri="{C3380CC4-5D6E-409C-BE32-E72D297353CC}">
              <c16:uniqueId val="{00000008-4ACB-455E-9A96-A98653FFCF61}"/>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6.746104101786031E-2"/>
                  <c:y val="-2.0253164556962026E-2"/>
                </c:manualLayout>
              </c:layout>
              <c:tx>
                <c:rich>
                  <a:bodyPr/>
                  <a:lstStyle/>
                  <a:p>
                    <a:fld id="{5558D109-4579-434E-99E9-2EA38152E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CB-455E-9A96-A98653FFCF61}"/>
                </c:ext>
              </c:extLst>
            </c:dLbl>
            <c:dLbl>
              <c:idx val="1"/>
              <c:layout>
                <c:manualLayout>
                  <c:x val="-5.1329052948372034E-2"/>
                  <c:y val="3.4430379746835403E-2"/>
                </c:manualLayout>
              </c:layout>
              <c:tx>
                <c:rich>
                  <a:bodyPr/>
                  <a:lstStyle/>
                  <a:p>
                    <a:fld id="{D0D1DCB1-6705-430D-9FCE-7796F5801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CB-455E-9A96-A98653FFCF61}"/>
                </c:ext>
              </c:extLst>
            </c:dLbl>
            <c:dLbl>
              <c:idx val="2"/>
              <c:tx>
                <c:rich>
                  <a:bodyPr/>
                  <a:lstStyle/>
                  <a:p>
                    <a:fld id="{C4B93138-F509-4000-8295-07FC299FB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B-455E-9A96-A98653FFCF61}"/>
                </c:ext>
              </c:extLst>
            </c:dLbl>
            <c:dLbl>
              <c:idx val="3"/>
              <c:tx>
                <c:rich>
                  <a:bodyPr/>
                  <a:lstStyle/>
                  <a:p>
                    <a:fld id="{C160642B-F14A-4348-B3FF-67A4D4DA39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Data'!$I$10:$I$13</c:f>
              <c:numCache>
                <c:formatCode>General</c:formatCode>
                <c:ptCount val="4"/>
                <c:pt idx="0">
                  <c:v>142</c:v>
                </c:pt>
                <c:pt idx="1">
                  <c:v>172</c:v>
                </c:pt>
                <c:pt idx="2">
                  <c:v>158</c:v>
                </c:pt>
                <c:pt idx="3">
                  <c:v>146</c:v>
                </c:pt>
              </c:numCache>
            </c:numRef>
          </c:xVal>
          <c:yVal>
            <c:numRef>
              <c:f>'January 2023 Data'!$H$10:$H$13</c:f>
              <c:numCache>
                <c:formatCode>General</c:formatCode>
                <c:ptCount val="4"/>
                <c:pt idx="0">
                  <c:v>185</c:v>
                </c:pt>
                <c:pt idx="1">
                  <c:v>189</c:v>
                </c:pt>
                <c:pt idx="2">
                  <c:v>180</c:v>
                </c:pt>
                <c:pt idx="3">
                  <c:v>186</c:v>
                </c:pt>
              </c:numCache>
            </c:numRef>
          </c:yVal>
          <c:smooth val="0"/>
          <c:extLst>
            <c:ext xmlns:c15="http://schemas.microsoft.com/office/drawing/2012/chart" uri="{02D57815-91ED-43cb-92C2-25804820EDAC}">
              <c15:datalabelsRange>
                <c15:f>'January 2023 Data'!$A$10:$A$13</c15:f>
                <c15:dlblRangeCache>
                  <c:ptCount val="4"/>
                  <c:pt idx="0">
                    <c:v>Kiribayama</c:v>
                  </c:pt>
                  <c:pt idx="1">
                    <c:v>Kotonowaka</c:v>
                  </c:pt>
                  <c:pt idx="2">
                    <c:v>Meisei</c:v>
                  </c:pt>
                  <c:pt idx="3">
                    <c:v>Wakamotoharu</c:v>
                  </c:pt>
                </c15:dlblRangeCache>
              </c15:datalabelsRange>
            </c:ext>
            <c:ext xmlns:c16="http://schemas.microsoft.com/office/drawing/2014/chart" uri="{C3380CC4-5D6E-409C-BE32-E72D297353CC}">
              <c16:uniqueId val="{0000000D-4ACB-455E-9A96-A98653FFCF61}"/>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5088FF37-387A-43FF-A0C4-66092CDC6A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CB-455E-9A96-A98653FFCF61}"/>
                </c:ext>
              </c:extLst>
            </c:dLbl>
            <c:dLbl>
              <c:idx val="1"/>
              <c:tx>
                <c:rich>
                  <a:bodyPr/>
                  <a:lstStyle/>
                  <a:p>
                    <a:fld id="{BE68D82F-1169-41B8-82CF-7D10CA7CB8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CB-455E-9A96-A98653FFCF61}"/>
                </c:ext>
              </c:extLst>
            </c:dLbl>
            <c:dLbl>
              <c:idx val="2"/>
              <c:tx>
                <c:rich>
                  <a:bodyPr/>
                  <a:lstStyle/>
                  <a:p>
                    <a:fld id="{167933F1-E515-4508-8497-C33DB24C76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CB-455E-9A96-A98653FFCF61}"/>
                </c:ext>
              </c:extLst>
            </c:dLbl>
            <c:dLbl>
              <c:idx val="3"/>
              <c:layout>
                <c:manualLayout>
                  <c:x val="-2.1998165549302385E-2"/>
                  <c:y val="-4.860759493670886E-2"/>
                </c:manualLayout>
              </c:layout>
              <c:tx>
                <c:rich>
                  <a:bodyPr/>
                  <a:lstStyle/>
                  <a:p>
                    <a:fld id="{E4F58328-46D2-4F36-9EDC-507A6E1AF4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CB-455E-9A96-A98653FFCF61}"/>
                </c:ext>
              </c:extLst>
            </c:dLbl>
            <c:dLbl>
              <c:idx val="4"/>
              <c:tx>
                <c:rich>
                  <a:bodyPr/>
                  <a:lstStyle/>
                  <a:p>
                    <a:fld id="{FAC464F7-9C55-4996-97E8-C4A2D5A7C0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CB-455E-9A96-A98653FFCF61}"/>
                </c:ext>
              </c:extLst>
            </c:dLbl>
            <c:dLbl>
              <c:idx val="5"/>
              <c:tx>
                <c:rich>
                  <a:bodyPr/>
                  <a:lstStyle/>
                  <a:p>
                    <a:fld id="{42F949E9-17C9-429F-A1EC-D15D98F9A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CB-455E-9A96-A98653FFCF61}"/>
                </c:ext>
              </c:extLst>
            </c:dLbl>
            <c:dLbl>
              <c:idx val="6"/>
              <c:tx>
                <c:rich>
                  <a:bodyPr/>
                  <a:lstStyle/>
                  <a:p>
                    <a:fld id="{47332555-46BE-4AF6-B273-C5528D3EBF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CB-455E-9A96-A98653FFCF61}"/>
                </c:ext>
              </c:extLst>
            </c:dLbl>
            <c:dLbl>
              <c:idx val="7"/>
              <c:layout>
                <c:manualLayout>
                  <c:x val="-7.3327218497674261E-3"/>
                  <c:y val="-3.0379746835443037E-2"/>
                </c:manualLayout>
              </c:layout>
              <c:tx>
                <c:rich>
                  <a:bodyPr/>
                  <a:lstStyle/>
                  <a:p>
                    <a:fld id="{7154F546-0A3D-47BA-B777-63479FE73D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Data'!$I$14:$I$21</c:f>
              <c:numCache>
                <c:formatCode>General</c:formatCode>
                <c:ptCount val="8"/>
                <c:pt idx="0">
                  <c:v>165</c:v>
                </c:pt>
                <c:pt idx="1">
                  <c:v>130</c:v>
                </c:pt>
                <c:pt idx="2">
                  <c:v>174</c:v>
                </c:pt>
                <c:pt idx="3">
                  <c:v>174</c:v>
                </c:pt>
                <c:pt idx="4">
                  <c:v>117</c:v>
                </c:pt>
                <c:pt idx="5">
                  <c:v>159</c:v>
                </c:pt>
                <c:pt idx="6">
                  <c:v>144</c:v>
                </c:pt>
                <c:pt idx="7">
                  <c:v>155</c:v>
                </c:pt>
              </c:numCache>
            </c:numRef>
          </c:xVal>
          <c:yVal>
            <c:numRef>
              <c:f>'January 2023 Data'!$H$14:$H$21</c:f>
              <c:numCache>
                <c:formatCode>General</c:formatCode>
                <c:ptCount val="8"/>
                <c:pt idx="0">
                  <c:v>182</c:v>
                </c:pt>
                <c:pt idx="1">
                  <c:v>174</c:v>
                </c:pt>
                <c:pt idx="2">
                  <c:v>179</c:v>
                </c:pt>
                <c:pt idx="3">
                  <c:v>189</c:v>
                </c:pt>
                <c:pt idx="4">
                  <c:v>171</c:v>
                </c:pt>
                <c:pt idx="5">
                  <c:v>187</c:v>
                </c:pt>
                <c:pt idx="6">
                  <c:v>182</c:v>
                </c:pt>
                <c:pt idx="7">
                  <c:v>184</c:v>
                </c:pt>
              </c:numCache>
            </c:numRef>
          </c:yVal>
          <c:smooth val="0"/>
          <c:extLst>
            <c:ext xmlns:c15="http://schemas.microsoft.com/office/drawing/2012/chart" uri="{02D57815-91ED-43cb-92C2-25804820EDAC}">
              <c15:datalabelsRange>
                <c15:f>'January 2023 Data'!$A$14:$A$21</c15:f>
                <c15:dlblRangeCache>
                  <c:ptCount val="8"/>
                  <c:pt idx="0">
                    <c:v>Daieisho</c:v>
                  </c:pt>
                  <c:pt idx="1">
                    <c:v>Tobizaru</c:v>
                  </c:pt>
                  <c:pt idx="2">
                    <c:v>Mitakeumi</c:v>
                  </c:pt>
                  <c:pt idx="3">
                    <c:v>Tamawashi</c:v>
                  </c:pt>
                  <c:pt idx="4">
                    <c:v>Midorifuji</c:v>
                  </c:pt>
                  <c:pt idx="5">
                    <c:v>Abi</c:v>
                  </c:pt>
                  <c:pt idx="6">
                    <c:v>Sadanoumi</c:v>
                  </c:pt>
                  <c:pt idx="7">
                    <c:v>Nishikifuji</c:v>
                  </c:pt>
                </c15:dlblRangeCache>
              </c15:datalabelsRange>
            </c:ext>
            <c:ext xmlns:c16="http://schemas.microsoft.com/office/drawing/2014/chart" uri="{C3380CC4-5D6E-409C-BE32-E72D297353CC}">
              <c16:uniqueId val="{00000016-4ACB-455E-9A96-A98653FFCF61}"/>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03571DAF-9164-4137-84A3-18EAC04B53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CB-455E-9A96-A98653FFCF61}"/>
                </c:ext>
              </c:extLst>
            </c:dLbl>
            <c:dLbl>
              <c:idx val="1"/>
              <c:layout>
                <c:manualLayout>
                  <c:x val="-7.4793762867627803E-2"/>
                  <c:y val="-2.6329113924050671E-2"/>
                </c:manualLayout>
              </c:layout>
              <c:tx>
                <c:rich>
                  <a:bodyPr/>
                  <a:lstStyle/>
                  <a:p>
                    <a:fld id="{E31FEF68-3943-4099-89EC-BECF7E918C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CB-455E-9A96-A98653FFCF61}"/>
                </c:ext>
              </c:extLst>
            </c:dLbl>
            <c:dLbl>
              <c:idx val="2"/>
              <c:layout>
                <c:manualLayout>
                  <c:x val="-6.746104101786031E-2"/>
                  <c:y val="6.2784810126582283E-2"/>
                </c:manualLayout>
              </c:layout>
              <c:tx>
                <c:rich>
                  <a:bodyPr/>
                  <a:lstStyle/>
                  <a:p>
                    <a:fld id="{427AC1B6-5671-4323-8519-2CD19DCBC8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CB-455E-9A96-A98653FFCF61}"/>
                </c:ext>
              </c:extLst>
            </c:dLbl>
            <c:dLbl>
              <c:idx val="3"/>
              <c:layout>
                <c:manualLayout>
                  <c:x val="-7.7726851607534772E-2"/>
                  <c:y val="-8.1012658227848106E-3"/>
                </c:manualLayout>
              </c:layout>
              <c:tx>
                <c:rich>
                  <a:bodyPr/>
                  <a:lstStyle/>
                  <a:p>
                    <a:fld id="{5BECF6E4-72D1-4808-9517-B3815E03D3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CB-455E-9A96-A98653FFCF61}"/>
                </c:ext>
              </c:extLst>
            </c:dLbl>
            <c:dLbl>
              <c:idx val="4"/>
              <c:tx>
                <c:rich>
                  <a:bodyPr/>
                  <a:lstStyle/>
                  <a:p>
                    <a:fld id="{32B2BC72-237B-4023-B4C4-6811E2F6A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CB-455E-9A96-A98653FFCF61}"/>
                </c:ext>
              </c:extLst>
            </c:dLbl>
            <c:dLbl>
              <c:idx val="5"/>
              <c:tx>
                <c:rich>
                  <a:bodyPr/>
                  <a:lstStyle/>
                  <a:p>
                    <a:fld id="{657E307F-55A5-443F-B87B-6B30E8058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CB-455E-9A96-A98653FFCF61}"/>
                </c:ext>
              </c:extLst>
            </c:dLbl>
            <c:dLbl>
              <c:idx val="6"/>
              <c:tx>
                <c:rich>
                  <a:bodyPr/>
                  <a:lstStyle/>
                  <a:p>
                    <a:fld id="{EB2E9C51-9CF2-46CB-914E-09980FCA4D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CB-455E-9A96-A98653FFCF61}"/>
                </c:ext>
              </c:extLst>
            </c:dLbl>
            <c:dLbl>
              <c:idx val="7"/>
              <c:tx>
                <c:rich>
                  <a:bodyPr/>
                  <a:lstStyle/>
                  <a:p>
                    <a:fld id="{4279A986-B31A-41F3-99C4-BB0410535F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Data'!$I$22:$I$29</c:f>
              <c:numCache>
                <c:formatCode>General</c:formatCode>
                <c:ptCount val="8"/>
                <c:pt idx="0">
                  <c:v>179</c:v>
                </c:pt>
                <c:pt idx="1">
                  <c:v>157</c:v>
                </c:pt>
                <c:pt idx="2">
                  <c:v>163</c:v>
                </c:pt>
                <c:pt idx="3">
                  <c:v>157</c:v>
                </c:pt>
                <c:pt idx="4">
                  <c:v>212</c:v>
                </c:pt>
                <c:pt idx="5">
                  <c:v>148</c:v>
                </c:pt>
                <c:pt idx="6">
                  <c:v>165</c:v>
                </c:pt>
                <c:pt idx="7">
                  <c:v>179</c:v>
                </c:pt>
              </c:numCache>
            </c:numRef>
          </c:xVal>
          <c:yVal>
            <c:numRef>
              <c:f>'January 2023 Data'!$H$22:$H$29</c:f>
              <c:numCache>
                <c:formatCode>General</c:formatCode>
                <c:ptCount val="8"/>
                <c:pt idx="0">
                  <c:v>184</c:v>
                </c:pt>
                <c:pt idx="1">
                  <c:v>187</c:v>
                </c:pt>
                <c:pt idx="2">
                  <c:v>184</c:v>
                </c:pt>
                <c:pt idx="3">
                  <c:v>189</c:v>
                </c:pt>
                <c:pt idx="4">
                  <c:v>190</c:v>
                </c:pt>
                <c:pt idx="5">
                  <c:v>175</c:v>
                </c:pt>
                <c:pt idx="6">
                  <c:v>178</c:v>
                </c:pt>
                <c:pt idx="7">
                  <c:v>189</c:v>
                </c:pt>
              </c:numCache>
            </c:numRef>
          </c:yVal>
          <c:smooth val="0"/>
          <c:extLst>
            <c:ext xmlns:c15="http://schemas.microsoft.com/office/drawing/2012/chart" uri="{02D57815-91ED-43cb-92C2-25804820EDAC}">
              <c15:datalabelsRange>
                <c15:f>'January 2023 Data'!$A$22:$A$29</c15:f>
                <c15:dlblRangeCache>
                  <c:ptCount val="8"/>
                  <c:pt idx="0">
                    <c:v>Nishikigi</c:v>
                  </c:pt>
                  <c:pt idx="1">
                    <c:v>Ryuden</c:v>
                  </c:pt>
                  <c:pt idx="2">
                    <c:v>Hokutofuji</c:v>
                  </c:pt>
                  <c:pt idx="3">
                    <c:v>Myogiryu</c:v>
                  </c:pt>
                  <c:pt idx="4">
                    <c:v>Ichinojo</c:v>
                  </c:pt>
                  <c:pt idx="5">
                    <c:v>Ura</c:v>
                  </c:pt>
                  <c:pt idx="6">
                    <c:v>Onosho</c:v>
                  </c:pt>
                  <c:pt idx="7">
                    <c:v>Oho</c:v>
                  </c:pt>
                </c15:dlblRangeCache>
              </c15:datalabelsRange>
            </c:ext>
            <c:ext xmlns:c16="http://schemas.microsoft.com/office/drawing/2014/chart" uri="{C3380CC4-5D6E-409C-BE32-E72D297353CC}">
              <c16:uniqueId val="{0000001F-4ACB-455E-9A96-A98653FFCF61}"/>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4D97CD09-E04A-46EE-8E69-4749AE74FE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CB-455E-9A96-A98653FFCF61}"/>
                </c:ext>
              </c:extLst>
            </c:dLbl>
            <c:dLbl>
              <c:idx val="1"/>
              <c:tx>
                <c:rich>
                  <a:bodyPr/>
                  <a:lstStyle/>
                  <a:p>
                    <a:fld id="{0B7836E2-6CBD-4A25-BAEB-2F2A9FEC5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CB-455E-9A96-A98653FFCF61}"/>
                </c:ext>
              </c:extLst>
            </c:dLbl>
            <c:dLbl>
              <c:idx val="2"/>
              <c:tx>
                <c:rich>
                  <a:bodyPr/>
                  <a:lstStyle/>
                  <a:p>
                    <a:fld id="{3CE3A63C-6FB8-4C0E-8E39-F72676E762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CB-455E-9A96-A98653FFCF61}"/>
                </c:ext>
              </c:extLst>
            </c:dLbl>
            <c:dLbl>
              <c:idx val="3"/>
              <c:tx>
                <c:rich>
                  <a:bodyPr/>
                  <a:lstStyle/>
                  <a:p>
                    <a:fld id="{AB23E89D-26A2-4E6F-9323-004E6729D6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CB-455E-9A96-A98653FFCF61}"/>
                </c:ext>
              </c:extLst>
            </c:dLbl>
            <c:dLbl>
              <c:idx val="4"/>
              <c:layout>
                <c:manualLayout>
                  <c:x val="4.3996331098604558E-3"/>
                  <c:y val="-2.2278481012658228E-2"/>
                </c:manualLayout>
              </c:layout>
              <c:tx>
                <c:rich>
                  <a:bodyPr/>
                  <a:lstStyle/>
                  <a:p>
                    <a:fld id="{D7BB23BC-E800-4DB2-A785-2BC48B9F4A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CB-455E-9A96-A98653FFCF61}"/>
                </c:ext>
              </c:extLst>
            </c:dLbl>
            <c:dLbl>
              <c:idx val="5"/>
              <c:layout>
                <c:manualLayout>
                  <c:x val="1.4665443699534851E-3"/>
                  <c:y val="2.0253164556962027E-3"/>
                </c:manualLayout>
              </c:layout>
              <c:tx>
                <c:rich>
                  <a:bodyPr/>
                  <a:lstStyle/>
                  <a:p>
                    <a:fld id="{8BAEC51E-0238-49A8-9A8F-207511099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CB-455E-9A96-A98653FFCF61}"/>
                </c:ext>
              </c:extLst>
            </c:dLbl>
            <c:dLbl>
              <c:idx val="6"/>
              <c:layout>
                <c:manualLayout>
                  <c:x val="-8.2126484717395171E-2"/>
                  <c:y val="-5.8734177215189871E-2"/>
                </c:manualLayout>
              </c:layout>
              <c:tx>
                <c:rich>
                  <a:bodyPr/>
                  <a:lstStyle/>
                  <a:p>
                    <a:fld id="{CA6F8474-D201-4367-8A3B-58E105ACAB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CB-455E-9A96-A98653FFCF61}"/>
                </c:ext>
              </c:extLst>
            </c:dLbl>
            <c:dLbl>
              <c:idx val="7"/>
              <c:tx>
                <c:rich>
                  <a:bodyPr/>
                  <a:lstStyle/>
                  <a:p>
                    <a:fld id="{B8CBBF11-B72B-4F21-9D27-A6BF882F40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Data'!$I$30:$I$37</c:f>
              <c:numCache>
                <c:formatCode>General</c:formatCode>
                <c:ptCount val="8"/>
                <c:pt idx="0">
                  <c:v>150</c:v>
                </c:pt>
                <c:pt idx="1">
                  <c:v>167</c:v>
                </c:pt>
                <c:pt idx="2">
                  <c:v>184</c:v>
                </c:pt>
                <c:pt idx="3">
                  <c:v>138</c:v>
                </c:pt>
                <c:pt idx="4">
                  <c:v>182</c:v>
                </c:pt>
                <c:pt idx="5">
                  <c:v>137</c:v>
                </c:pt>
                <c:pt idx="6">
                  <c:v>161</c:v>
                </c:pt>
                <c:pt idx="7">
                  <c:v>156</c:v>
                </c:pt>
              </c:numCache>
            </c:numRef>
          </c:xVal>
          <c:yVal>
            <c:numRef>
              <c:f>'January 2023 Data'!$H$30:$H$37</c:f>
              <c:numCache>
                <c:formatCode>General</c:formatCode>
                <c:ptCount val="8"/>
                <c:pt idx="0">
                  <c:v>183</c:v>
                </c:pt>
                <c:pt idx="1">
                  <c:v>184</c:v>
                </c:pt>
                <c:pt idx="2">
                  <c:v>190</c:v>
                </c:pt>
                <c:pt idx="3">
                  <c:v>178</c:v>
                </c:pt>
                <c:pt idx="4">
                  <c:v>192</c:v>
                </c:pt>
                <c:pt idx="5">
                  <c:v>183</c:v>
                </c:pt>
                <c:pt idx="6">
                  <c:v>189</c:v>
                </c:pt>
                <c:pt idx="7">
                  <c:v>193</c:v>
                </c:pt>
              </c:numCache>
            </c:numRef>
          </c:yVal>
          <c:smooth val="0"/>
          <c:extLst>
            <c:ext xmlns:c15="http://schemas.microsoft.com/office/drawing/2012/chart" uri="{02D57815-91ED-43cb-92C2-25804820EDAC}">
              <c15:datalabelsRange>
                <c15:f>'January 2023 Data'!$A$30:$A$37</c15:f>
                <c15:dlblRangeCache>
                  <c:ptCount val="8"/>
                  <c:pt idx="0">
                    <c:v>Endo</c:v>
                  </c:pt>
                  <c:pt idx="1">
                    <c:v>Takanosho</c:v>
                  </c:pt>
                  <c:pt idx="2">
                    <c:v>Aoiyama</c:v>
                  </c:pt>
                  <c:pt idx="3">
                    <c:v>Hiradoumi</c:v>
                  </c:pt>
                  <c:pt idx="4">
                    <c:v>Tochinoshin</c:v>
                  </c:pt>
                  <c:pt idx="5">
                    <c:v>Chiyoshoma</c:v>
                  </c:pt>
                  <c:pt idx="6">
                    <c:v>Okinoumi</c:v>
                  </c:pt>
                  <c:pt idx="7">
                    <c:v>Kagayaki</c:v>
                  </c:pt>
                </c15:dlblRangeCache>
              </c15:datalabelsRange>
            </c:ext>
            <c:ext xmlns:c16="http://schemas.microsoft.com/office/drawing/2014/chart" uri="{C3380CC4-5D6E-409C-BE32-E72D297353CC}">
              <c16:uniqueId val="{00000028-4ACB-455E-9A96-A98653FFCF61}"/>
            </c:ext>
          </c:extLst>
        </c:ser>
        <c:ser>
          <c:idx val="7"/>
          <c:order val="7"/>
          <c:tx>
            <c:v>M13-16</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layout>
                <c:manualLayout>
                  <c:x val="0"/>
                  <c:y val="-2.0253164556962026E-2"/>
                </c:manualLayout>
              </c:layout>
              <c:tx>
                <c:rich>
                  <a:bodyPr/>
                  <a:lstStyle/>
                  <a:p>
                    <a:fld id="{B7125C1D-D883-4185-A8ED-FE7F1234BB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CB-455E-9A96-A98653FFCF61}"/>
                </c:ext>
              </c:extLst>
            </c:dLbl>
            <c:dLbl>
              <c:idx val="1"/>
              <c:tx>
                <c:rich>
                  <a:bodyPr/>
                  <a:lstStyle/>
                  <a:p>
                    <a:fld id="{5B9FB1CA-C126-4956-A6FC-247A5CA71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ACB-455E-9A96-A98653FFCF61}"/>
                </c:ext>
              </c:extLst>
            </c:dLbl>
            <c:dLbl>
              <c:idx val="2"/>
              <c:layout>
                <c:manualLayout>
                  <c:x val="-9.6791928416930045E-2"/>
                  <c:y val="-2.8354430379746873E-2"/>
                </c:manualLayout>
              </c:layout>
              <c:tx>
                <c:rich>
                  <a:bodyPr/>
                  <a:lstStyle/>
                  <a:p>
                    <a:fld id="{F2D0753C-955F-47B0-B79D-4A9AD61AB5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CB-455E-9A96-A98653FFCF61}"/>
                </c:ext>
              </c:extLst>
            </c:dLbl>
            <c:dLbl>
              <c:idx val="3"/>
              <c:tx>
                <c:rich>
                  <a:bodyPr/>
                  <a:lstStyle/>
                  <a:p>
                    <a:fld id="{55AF0229-57B0-45EE-A76F-A49EE0CFA4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ACB-455E-9A96-A98653FFCF61}"/>
                </c:ext>
              </c:extLst>
            </c:dLbl>
            <c:dLbl>
              <c:idx val="4"/>
              <c:tx>
                <c:rich>
                  <a:bodyPr/>
                  <a:lstStyle/>
                  <a:p>
                    <a:fld id="{6B91D56C-C759-44A3-9CFE-55B0D331A4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ACB-455E-9A96-A98653FFCF61}"/>
                </c:ext>
              </c:extLst>
            </c:dLbl>
            <c:dLbl>
              <c:idx val="5"/>
              <c:tx>
                <c:rich>
                  <a:bodyPr/>
                  <a:lstStyle/>
                  <a:p>
                    <a:fld id="{B8C9A66B-FC65-4B86-B5EB-21CC2F407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ACB-455E-9A96-A98653FFCF61}"/>
                </c:ext>
              </c:extLst>
            </c:dLbl>
            <c:dLbl>
              <c:idx val="6"/>
              <c:layout>
                <c:manualLayout>
                  <c:x val="-1.9065076809395308E-2"/>
                  <c:y val="-2.6329113924050632E-2"/>
                </c:manualLayout>
              </c:layout>
              <c:tx>
                <c:rich>
                  <a:bodyPr/>
                  <a:lstStyle/>
                  <a:p>
                    <a:fld id="{DA84FC3E-BDCF-4A1B-A984-CCFEC8B02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CB-455E-9A96-A98653FFCF61}"/>
                </c:ext>
              </c:extLst>
            </c:dLbl>
            <c:dLbl>
              <c:idx val="7"/>
              <c:tx>
                <c:rich>
                  <a:bodyPr/>
                  <a:lstStyle/>
                  <a:p>
                    <a:fld id="{94556ED4-8A2E-417D-9FBC-95790D1FD2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Data'!$I$38:$I$45</c:f>
              <c:numCache>
                <c:formatCode>General</c:formatCode>
                <c:ptCount val="8"/>
                <c:pt idx="0">
                  <c:v>163</c:v>
                </c:pt>
                <c:pt idx="1">
                  <c:v>128</c:v>
                </c:pt>
                <c:pt idx="2">
                  <c:v>146</c:v>
                </c:pt>
                <c:pt idx="3">
                  <c:v>162</c:v>
                </c:pt>
                <c:pt idx="4">
                  <c:v>200</c:v>
                </c:pt>
                <c:pt idx="5">
                  <c:v>197</c:v>
                </c:pt>
                <c:pt idx="6">
                  <c:v>171</c:v>
                </c:pt>
                <c:pt idx="7">
                  <c:v>169</c:v>
                </c:pt>
              </c:numCache>
            </c:numRef>
          </c:xVal>
          <c:yVal>
            <c:numRef>
              <c:f>'January 2023 Data'!$H$38:$H$45</c:f>
              <c:numCache>
                <c:formatCode>General</c:formatCode>
                <c:ptCount val="8"/>
                <c:pt idx="0">
                  <c:v>189</c:v>
                </c:pt>
                <c:pt idx="1">
                  <c:v>176</c:v>
                </c:pt>
                <c:pt idx="2">
                  <c:v>187</c:v>
                </c:pt>
                <c:pt idx="3">
                  <c:v>191</c:v>
                </c:pt>
                <c:pt idx="4">
                  <c:v>184</c:v>
                </c:pt>
                <c:pt idx="5">
                  <c:v>190</c:v>
                </c:pt>
                <c:pt idx="6">
                  <c:v>186</c:v>
                </c:pt>
                <c:pt idx="7">
                  <c:v>177</c:v>
                </c:pt>
              </c:numCache>
            </c:numRef>
          </c:yVal>
          <c:smooth val="0"/>
          <c:extLst>
            <c:ext xmlns:c15="http://schemas.microsoft.com/office/drawing/2012/chart" uri="{02D57815-91ED-43cb-92C2-25804820EDAC}">
              <c15:datalabelsRange>
                <c15:f>'January 2023 Data'!$A$38:$A$45</c15:f>
                <c15:dlblRangeCache>
                  <c:ptCount val="8"/>
                  <c:pt idx="0">
                    <c:v>Kotoshoho</c:v>
                  </c:pt>
                  <c:pt idx="1">
                    <c:v>Kotoeko</c:v>
                  </c:pt>
                  <c:pt idx="2">
                    <c:v>Ichiyamamoto</c:v>
                  </c:pt>
                  <c:pt idx="3">
                    <c:v>Azumaryu</c:v>
                  </c:pt>
                  <c:pt idx="4">
                    <c:v>Tsurugisho</c:v>
                  </c:pt>
                  <c:pt idx="5">
                    <c:v>Mitoryu</c:v>
                  </c:pt>
                  <c:pt idx="6">
                    <c:v>Takarafuji</c:v>
                  </c:pt>
                  <c:pt idx="7">
                    <c:v>Chiyomaru</c:v>
                  </c:pt>
                </c15:dlblRangeCache>
              </c15:datalabelsRange>
            </c:ext>
            <c:ext xmlns:c16="http://schemas.microsoft.com/office/drawing/2014/chart" uri="{C3380CC4-5D6E-409C-BE32-E72D297353CC}">
              <c16:uniqueId val="{00000031-4ACB-455E-9A96-A98653FFCF61}"/>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Change in weight </a:t>
            </a:r>
          </a:p>
          <a:p>
            <a:pPr>
              <a:defRPr/>
            </a:pPr>
            <a:r>
              <a:rPr lang="en-US" sz="2000"/>
              <a:t>Nov 2022 - Jan 2023</a:t>
            </a:r>
          </a:p>
        </c:rich>
      </c:tx>
      <c:layout>
        <c:manualLayout>
          <c:xMode val="edge"/>
          <c:yMode val="edge"/>
          <c:x val="8.4981684981684985E-2"/>
          <c:y val="2.429149797570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89264803438036E-2"/>
          <c:y val="1.1118460900889414E-2"/>
          <c:w val="0.91769351907934582"/>
          <c:h val="0.90385970225381751"/>
        </c:manualLayout>
      </c:layout>
      <c:barChart>
        <c:barDir val="col"/>
        <c:grouping val="clustered"/>
        <c:varyColors val="0"/>
        <c:ser>
          <c:idx val="0"/>
          <c:order val="0"/>
          <c:tx>
            <c:v>Change in weight Nov 2022 - Jan 2023</c:v>
          </c:tx>
          <c:spPr>
            <a:solidFill>
              <a:schemeClr val="accent4"/>
            </a:solidFill>
            <a:ln>
              <a:noFill/>
            </a:ln>
            <a:effectLst/>
          </c:spPr>
          <c:invertIfNegative val="0"/>
          <c:cat>
            <c:numRef>
              <c:f>'January 2023 Data'!$V$4:$V$18</c:f>
              <c:numCache>
                <c:formatCode>General</c:formatCode>
                <c:ptCount val="15"/>
                <c:pt idx="0">
                  <c:v>-3</c:v>
                </c:pt>
                <c:pt idx="1">
                  <c:v>-2</c:v>
                </c:pt>
                <c:pt idx="2">
                  <c:v>-1</c:v>
                </c:pt>
                <c:pt idx="3">
                  <c:v>0</c:v>
                </c:pt>
                <c:pt idx="4">
                  <c:v>1</c:v>
                </c:pt>
                <c:pt idx="5">
                  <c:v>2</c:v>
                </c:pt>
                <c:pt idx="6">
                  <c:v>3</c:v>
                </c:pt>
                <c:pt idx="7">
                  <c:v>4</c:v>
                </c:pt>
                <c:pt idx="8">
                  <c:v>5</c:v>
                </c:pt>
                <c:pt idx="9">
                  <c:v>6</c:v>
                </c:pt>
                <c:pt idx="10">
                  <c:v>7</c:v>
                </c:pt>
                <c:pt idx="11">
                  <c:v>8</c:v>
                </c:pt>
                <c:pt idx="12">
                  <c:v>9</c:v>
                </c:pt>
                <c:pt idx="13">
                  <c:v>10</c:v>
                </c:pt>
                <c:pt idx="14">
                  <c:v>11</c:v>
                </c:pt>
              </c:numCache>
            </c:numRef>
          </c:cat>
          <c:val>
            <c:numRef>
              <c:f>'January 2023 Data'!$W$4:$W$18</c:f>
              <c:numCache>
                <c:formatCode>General</c:formatCode>
                <c:ptCount val="15"/>
                <c:pt idx="0">
                  <c:v>3</c:v>
                </c:pt>
                <c:pt idx="1">
                  <c:v>1</c:v>
                </c:pt>
                <c:pt idx="2">
                  <c:v>1</c:v>
                </c:pt>
                <c:pt idx="3">
                  <c:v>6</c:v>
                </c:pt>
                <c:pt idx="4">
                  <c:v>4</c:v>
                </c:pt>
                <c:pt idx="5">
                  <c:v>3</c:v>
                </c:pt>
                <c:pt idx="6">
                  <c:v>10</c:v>
                </c:pt>
                <c:pt idx="7">
                  <c:v>2</c:v>
                </c:pt>
                <c:pt idx="8">
                  <c:v>6</c:v>
                </c:pt>
                <c:pt idx="9">
                  <c:v>1</c:v>
                </c:pt>
                <c:pt idx="10">
                  <c:v>1</c:v>
                </c:pt>
                <c:pt idx="11">
                  <c:v>1</c:v>
                </c:pt>
                <c:pt idx="12">
                  <c:v>1</c:v>
                </c:pt>
                <c:pt idx="13">
                  <c:v>0</c:v>
                </c:pt>
                <c:pt idx="14">
                  <c:v>1</c:v>
                </c:pt>
              </c:numCache>
            </c:numRef>
          </c:val>
          <c:extLst>
            <c:ext xmlns:c16="http://schemas.microsoft.com/office/drawing/2014/chart" uri="{C3380CC4-5D6E-409C-BE32-E72D297353CC}">
              <c16:uniqueId val="{00000000-58D7-4245-8833-D44E43232CBE}"/>
            </c:ext>
          </c:extLst>
        </c:ser>
        <c:dLbls>
          <c:showLegendKey val="0"/>
          <c:showVal val="0"/>
          <c:showCatName val="0"/>
          <c:showSerName val="0"/>
          <c:showPercent val="0"/>
          <c:showBubbleSize val="0"/>
        </c:dLbls>
        <c:gapWidth val="38"/>
        <c:overlap val="-27"/>
        <c:axId val="378171888"/>
        <c:axId val="378172304"/>
      </c:barChart>
      <c:catAx>
        <c:axId val="37817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Kilograms</a:t>
                </a:r>
              </a:p>
            </c:rich>
          </c:tx>
          <c:layout>
            <c:manualLayout>
              <c:xMode val="edge"/>
              <c:yMode val="edge"/>
              <c:x val="7.4307057771624718E-2"/>
              <c:y val="0.95439271255060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2304"/>
        <c:crosses val="autoZero"/>
        <c:auto val="1"/>
        <c:lblAlgn val="ctr"/>
        <c:lblOffset val="100"/>
        <c:noMultiLvlLbl val="0"/>
      </c:catAx>
      <c:valAx>
        <c:axId val="378172304"/>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Number of Makuuchi wrestlers</a:t>
                </a:r>
              </a:p>
            </c:rich>
          </c:tx>
          <c:layout>
            <c:manualLayout>
              <c:xMode val="edge"/>
              <c:yMode val="edge"/>
              <c:x val="0"/>
              <c:y val="1.05178679588128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188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Makuuchi Wrestlers</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2.7864343029116324E-2"/>
                  <c:y val="-3.0303030303030304E-2"/>
                </c:manualLayout>
              </c:layout>
              <c:tx>
                <c:rich>
                  <a:bodyPr/>
                  <a:lstStyle/>
                  <a:p>
                    <a:fld id="{4FAC22B6-E997-4746-B6AC-EC30924D8B24}"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{4FAC22B6-E997-4746-B6AC-EC30924D8B24}</c15:txfldGUID>
                      <c15:f>'March 2023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00-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'March 2023 Data'!$J$4</c:f>
              <c:numCache>
                <c:formatCode>General</c:formatCode>
                <c:ptCount val="1"/>
                <c:pt idx="0">
                  <c:v>180</c:v>
                </c:pt>
              </c:numCache>
            </c:numRef>
          </c:xVal>
          <c:yVal>
            <c:numRef>
              <c:f>'March 2023 Data'!$I$4</c:f>
              <c:numCache>
                <c:formatCode>General</c:formatCode>
                <c:ptCount val="1"/>
                <c:pt idx="0">
                  <c:v>192</c:v>
                </c:pt>
              </c:numCache>
            </c:numRef>
          </c:yVal>
          <c:smooth val="0"/>
          <c:extLst>
            <c:ext xmlns:c16="http://schemas.microsoft.com/office/drawing/2014/chart" uri="{C3380CC4-5D6E-409C-BE32-E72D297353CC}">
              <c16:uniqueId val="{00000001-5B85-4AE0-8D30-117960B5E123}"/>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97401E88-1CB3-4A66-8311-4F2655D7A4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Data'!$J$5</c:f>
              <c:numCache>
                <c:formatCode>General</c:formatCode>
                <c:ptCount val="1"/>
                <c:pt idx="0">
                  <c:v>165</c:v>
                </c:pt>
              </c:numCache>
            </c:numRef>
          </c:xVal>
          <c:yVal>
            <c:numRef>
              <c:f>'March 2023 Data'!$I$5</c:f>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5B85-4AE0-8D30-117960B5E123}"/>
            </c:ext>
          </c:extLst>
        </c:ser>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F5AFA698-7E8A-495C-895D-0FC3AE70C3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85-4AE0-8D30-117960B5E123}"/>
                </c:ext>
              </c:extLst>
            </c:dLbl>
            <c:dLbl>
              <c:idx val="1"/>
              <c:layout>
                <c:manualLayout>
                  <c:x val="-5.1329052948371978E-2"/>
                  <c:y val="-3.8383838383838381E-2"/>
                </c:manualLayout>
              </c:layout>
              <c:tx>
                <c:rich>
                  <a:bodyPr/>
                  <a:lstStyle/>
                  <a:p>
                    <a:fld id="{56EE09D1-A078-4C8D-83E0-6C1DB7E8C1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85-4AE0-8D30-117960B5E123}"/>
                </c:ext>
              </c:extLst>
            </c:dLbl>
            <c:dLbl>
              <c:idx val="2"/>
              <c:layout>
                <c:manualLayout>
                  <c:x val="-9.6791928416930045E-2"/>
                  <c:y val="-4.0404040404041141E-3"/>
                </c:manualLayout>
              </c:layout>
              <c:tx>
                <c:rich>
                  <a:bodyPr/>
                  <a:lstStyle/>
                  <a:p>
                    <a:fld id="{7EE43BF4-042E-43FF-956F-B0DA2662A0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Data'!$A$6:$A$8</c15:f>
                <c15:dlblRangeCache>
                  <c:ptCount val="3"/>
                  <c:pt idx="0">
                    <c:v>Wakatakakage</c:v>
                  </c:pt>
                  <c:pt idx="1">
                    <c:v>Hoshoryu</c:v>
                  </c:pt>
                  <c:pt idx="2">
                    <c:v>Kiribayama</c:v>
                  </c:pt>
                </c15:dlblRangeCache>
              </c15:datalabelsRange>
            </c:ext>
            <c:ext xmlns:c16="http://schemas.microsoft.com/office/drawing/2014/chart" uri="{C3380CC4-5D6E-409C-BE32-E72D297353CC}">
              <c16:uniqueId val="{00000008-5B85-4AE0-8D30-117960B5E123}"/>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D74E4AFF-E2A7-49B8-BAAD-384B372B5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85-4AE0-8D30-117960B5E123}"/>
                </c:ext>
              </c:extLst>
            </c:dLbl>
            <c:dLbl>
              <c:idx val="1"/>
              <c:layout>
                <c:manualLayout>
                  <c:x val="-1.4665443699534852E-2"/>
                  <c:y val="2.8282828282828285E-2"/>
                </c:manualLayout>
              </c:layout>
              <c:tx>
                <c:rich>
                  <a:bodyPr/>
                  <a:lstStyle/>
                  <a:p>
                    <a:fld id="{E42FB328-0687-413B-A5E4-4BE22B3523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85-4AE0-8D30-117960B5E123}"/>
                </c:ext>
              </c:extLst>
            </c:dLbl>
            <c:dLbl>
              <c:idx val="2"/>
              <c:tx>
                <c:rich>
                  <a:bodyPr/>
                  <a:lstStyle/>
                  <a:p>
                    <a:fld id="{51B415A0-1DFB-4AF8-8077-08FB79808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85-4AE0-8D30-117960B5E123}"/>
                </c:ext>
              </c:extLst>
            </c:dLbl>
            <c:dLbl>
              <c:idx val="3"/>
              <c:tx>
                <c:rich>
                  <a:bodyPr/>
                  <a:lstStyle/>
                  <a:p>
                    <a:fld id="{C19B9B08-A12D-497C-A8EC-86F6876ED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Data'!$A$9:$A$12</c15:f>
                <c15:dlblRangeCache>
                  <c:ptCount val="4"/>
                  <c:pt idx="0">
                    <c:v>Kotonowaka</c:v>
                  </c:pt>
                  <c:pt idx="1">
                    <c:v>Wakamotoharu</c:v>
                  </c:pt>
                  <c:pt idx="2">
                    <c:v>Daieisho</c:v>
                  </c:pt>
                  <c:pt idx="3">
                    <c:v>Tobizaru</c:v>
                  </c:pt>
                </c15:dlblRangeCache>
              </c15:datalabelsRange>
            </c:ext>
            <c:ext xmlns:c16="http://schemas.microsoft.com/office/drawing/2014/chart" uri="{C3380CC4-5D6E-409C-BE32-E72D297353CC}">
              <c16:uniqueId val="{0000000D-5B85-4AE0-8D30-117960B5E123}"/>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60D2BA3B-DC2A-4201-AA30-E5093BC07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B85-4AE0-8D30-117960B5E123}"/>
                </c:ext>
              </c:extLst>
            </c:dLbl>
            <c:dLbl>
              <c:idx val="1"/>
              <c:tx>
                <c:rich>
                  <a:bodyPr/>
                  <a:lstStyle/>
                  <a:p>
                    <a:fld id="{B4C5C6D8-B8AB-47D0-BFFC-19F884E54A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85-4AE0-8D30-117960B5E123}"/>
                </c:ext>
              </c:extLst>
            </c:dLbl>
            <c:dLbl>
              <c:idx val="2"/>
              <c:tx>
                <c:rich>
                  <a:bodyPr/>
                  <a:lstStyle/>
                  <a:p>
                    <a:fld id="{59A405BC-1D0E-42D2-955E-D08DD93F60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85-4AE0-8D30-117960B5E123}"/>
                </c:ext>
              </c:extLst>
            </c:dLbl>
            <c:dLbl>
              <c:idx val="3"/>
              <c:layout>
                <c:manualLayout>
                  <c:x val="-5.4262141688278948E-2"/>
                  <c:y val="2.0202020202020204E-2"/>
                </c:manualLayout>
              </c:layout>
              <c:tx>
                <c:rich>
                  <a:bodyPr/>
                  <a:lstStyle/>
                  <a:p>
                    <a:fld id="{3BFCFE53-23D6-4FDF-8E05-C38C633980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85-4AE0-8D30-117960B5E123}"/>
                </c:ext>
              </c:extLst>
            </c:dLbl>
            <c:dLbl>
              <c:idx val="4"/>
              <c:tx>
                <c:rich>
                  <a:bodyPr/>
                  <a:lstStyle/>
                  <a:p>
                    <a:fld id="{E4A64C44-B250-4361-83B2-4D6E224FD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85-4AE0-8D30-117960B5E123}"/>
                </c:ext>
              </c:extLst>
            </c:dLbl>
            <c:dLbl>
              <c:idx val="5"/>
              <c:tx>
                <c:rich>
                  <a:bodyPr/>
                  <a:lstStyle/>
                  <a:p>
                    <a:fld id="{A848274B-AE8C-4943-B5DF-54D2E77D0B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85-4AE0-8D30-117960B5E123}"/>
                </c:ext>
              </c:extLst>
            </c:dLbl>
            <c:dLbl>
              <c:idx val="6"/>
              <c:tx>
                <c:rich>
                  <a:bodyPr/>
                  <a:lstStyle/>
                  <a:p>
                    <a:fld id="{14C37AE3-317E-49F9-8E59-730446BDE3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85-4AE0-8D30-117960B5E123}"/>
                </c:ext>
              </c:extLst>
            </c:dLbl>
            <c:dLbl>
              <c:idx val="7"/>
              <c:tx>
                <c:rich>
                  <a:bodyPr/>
                  <a:lstStyle/>
                  <a:p>
                    <a:fld id="{7C15003B-0C3C-4ED0-B6F8-1A0C31ACD0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Data'!$A$13:$A$20</c15:f>
                <c15:dlblRangeCache>
                  <c:ptCount val="8"/>
                  <c:pt idx="0">
                    <c:v>Shodai</c:v>
                  </c:pt>
                  <c:pt idx="1">
                    <c:v>Tamawashi</c:v>
                  </c:pt>
                  <c:pt idx="2">
                    <c:v>Abi</c:v>
                  </c:pt>
                  <c:pt idx="3">
                    <c:v>Ryuden</c:v>
                  </c:pt>
                  <c:pt idx="4">
                    <c:v>Mitakeumi</c:v>
                  </c:pt>
                  <c:pt idx="5">
                    <c:v>Nishikigi</c:v>
                  </c:pt>
                  <c:pt idx="6">
                    <c:v>Meisei</c:v>
                  </c:pt>
                  <c:pt idx="7">
                    <c:v>Onosho</c:v>
                  </c:pt>
                </c15:dlblRangeCache>
              </c15:datalabelsRange>
            </c:ext>
            <c:ext xmlns:c16="http://schemas.microsoft.com/office/drawing/2014/chart" uri="{C3380CC4-5D6E-409C-BE32-E72D297353CC}">
              <c16:uniqueId val="{00000016-5B85-4AE0-8D30-117960B5E123}"/>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29F42775-E6F7-47A1-8869-05328013C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85-4AE0-8D30-117960B5E123}"/>
                </c:ext>
              </c:extLst>
            </c:dLbl>
            <c:dLbl>
              <c:idx val="1"/>
              <c:tx>
                <c:rich>
                  <a:bodyPr/>
                  <a:lstStyle/>
                  <a:p>
                    <a:fld id="{67E93E08-F4A0-4A5D-9A9E-9092442CC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85-4AE0-8D30-117960B5E123}"/>
                </c:ext>
              </c:extLst>
            </c:dLbl>
            <c:dLbl>
              <c:idx val="2"/>
              <c:tx>
                <c:rich>
                  <a:bodyPr/>
                  <a:lstStyle/>
                  <a:p>
                    <a:fld id="{AB8F67EC-BD73-4378-BAE7-4853BA1D1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85-4AE0-8D30-117960B5E123}"/>
                </c:ext>
              </c:extLst>
            </c:dLbl>
            <c:dLbl>
              <c:idx val="3"/>
              <c:layout>
                <c:manualLayout>
                  <c:x val="1.0265810589674396E-2"/>
                  <c:y val="-4.0404040404041141E-3"/>
                </c:manualLayout>
              </c:layout>
              <c:tx>
                <c:rich>
                  <a:bodyPr/>
                  <a:lstStyle/>
                  <a:p>
                    <a:fld id="{8D291887-E3B4-46CE-95E1-C7D6D1938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85-4AE0-8D30-117960B5E123}"/>
                </c:ext>
              </c:extLst>
            </c:dLbl>
            <c:dLbl>
              <c:idx val="4"/>
              <c:tx>
                <c:rich>
                  <a:bodyPr/>
                  <a:lstStyle/>
                  <a:p>
                    <a:fld id="{0FF2463E-9B8F-4BC3-9023-24EF32862D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85-4AE0-8D30-117960B5E123}"/>
                </c:ext>
              </c:extLst>
            </c:dLbl>
            <c:dLbl>
              <c:idx val="5"/>
              <c:layout>
                <c:manualLayout>
                  <c:x val="-3.3730520508930155E-2"/>
                  <c:y val="3.0303030303030228E-2"/>
                </c:manualLayout>
              </c:layout>
              <c:tx>
                <c:rich>
                  <a:bodyPr/>
                  <a:lstStyle/>
                  <a:p>
                    <a:fld id="{8C745346-FBF1-47D7-BF5B-E3FDD0B7C1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B85-4AE0-8D30-117960B5E123}"/>
                </c:ext>
              </c:extLst>
            </c:dLbl>
            <c:dLbl>
              <c:idx val="6"/>
              <c:tx>
                <c:rich>
                  <a:bodyPr/>
                  <a:lstStyle/>
                  <a:p>
                    <a:fld id="{9E5D6A7B-859C-4C11-837A-09CE86075B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85-4AE0-8D30-117960B5E123}"/>
                </c:ext>
              </c:extLst>
            </c:dLbl>
            <c:dLbl>
              <c:idx val="7"/>
              <c:layout>
                <c:manualLayout>
                  <c:x val="-2.0531621179348793E-2"/>
                  <c:y val="-4.0404040404040407E-2"/>
                </c:manualLayout>
              </c:layout>
              <c:tx>
                <c:rich>
                  <a:bodyPr/>
                  <a:lstStyle/>
                  <a:p>
                    <a:fld id="{F6678260-05FE-4FCC-90C1-F4F8BBB0E5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Data'!$A$21:$A$28</c15:f>
                <c15:dlblRangeCache>
                  <c:ptCount val="8"/>
                  <c:pt idx="0">
                    <c:v>Midorifuji</c:v>
                  </c:pt>
                  <c:pt idx="1">
                    <c:v>Kotoshoho</c:v>
                  </c:pt>
                  <c:pt idx="2">
                    <c:v>Sadanoumi</c:v>
                  </c:pt>
                  <c:pt idx="3">
                    <c:v>Endo</c:v>
                  </c:pt>
                  <c:pt idx="4">
                    <c:v>Takayasu</c:v>
                  </c:pt>
                  <c:pt idx="5">
                    <c:v>Hokutofuji</c:v>
                  </c:pt>
                  <c:pt idx="6">
                    <c:v>Ura</c:v>
                  </c:pt>
                  <c:pt idx="7">
                    <c:v>Ichiyamamoto</c:v>
                  </c:pt>
                </c15:dlblRangeCache>
              </c15:datalabelsRange>
            </c:ext>
            <c:ext xmlns:c16="http://schemas.microsoft.com/office/drawing/2014/chart" uri="{C3380CC4-5D6E-409C-BE32-E72D297353CC}">
              <c16:uniqueId val="{0000001F-5B85-4AE0-8D30-117960B5E123}"/>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FDCF9A84-8BB4-4CD9-BC0C-D8985B68CD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85-4AE0-8D30-117960B5E123}"/>
                </c:ext>
              </c:extLst>
            </c:dLbl>
            <c:dLbl>
              <c:idx val="1"/>
              <c:tx>
                <c:rich>
                  <a:bodyPr/>
                  <a:lstStyle/>
                  <a:p>
                    <a:fld id="{8A25FC1A-1391-4B57-9E4A-C405A91B9F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85-4AE0-8D30-117960B5E123}"/>
                </c:ext>
              </c:extLst>
            </c:dLbl>
            <c:dLbl>
              <c:idx val="2"/>
              <c:layout>
                <c:manualLayout>
                  <c:x val="-4.252978672865107E-2"/>
                  <c:y val="1.4141414141414068E-2"/>
                </c:manualLayout>
              </c:layout>
              <c:tx>
                <c:rich>
                  <a:bodyPr/>
                  <a:lstStyle/>
                  <a:p>
                    <a:fld id="{78C8B4B6-D299-4778-9A92-F4AB8568E3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B85-4AE0-8D30-117960B5E123}"/>
                </c:ext>
              </c:extLst>
            </c:dLbl>
            <c:dLbl>
              <c:idx val="3"/>
              <c:layout>
                <c:manualLayout>
                  <c:x val="-1.4665443699535389E-3"/>
                  <c:y val="-2.0202020202020204E-2"/>
                </c:manualLayout>
              </c:layout>
              <c:tx>
                <c:rich>
                  <a:bodyPr/>
                  <a:lstStyle/>
                  <a:p>
                    <a:fld id="{9C9FA2D9-6E49-4EEA-934D-32E3096929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B85-4AE0-8D30-117960B5E123}"/>
                </c:ext>
              </c:extLst>
            </c:dLbl>
            <c:dLbl>
              <c:idx val="4"/>
              <c:tx>
                <c:rich>
                  <a:bodyPr/>
                  <a:lstStyle/>
                  <a:p>
                    <a:fld id="{1A30E107-E549-47BC-850C-8BA788430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85-4AE0-8D30-117960B5E123}"/>
                </c:ext>
              </c:extLst>
            </c:dLbl>
            <c:dLbl>
              <c:idx val="5"/>
              <c:tx>
                <c:rich>
                  <a:bodyPr/>
                  <a:lstStyle/>
                  <a:p>
                    <a:fld id="{BC026B06-D152-46EC-8A26-EDD44FE8A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85-4AE0-8D30-117960B5E123}"/>
                </c:ext>
              </c:extLst>
            </c:dLbl>
            <c:dLbl>
              <c:idx val="6"/>
              <c:tx>
                <c:rich>
                  <a:bodyPr/>
                  <a:lstStyle/>
                  <a:p>
                    <a:fld id="{9BBFA1A9-EB13-400E-B2AB-8410509AE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85-4AE0-8D30-117960B5E123}"/>
                </c:ext>
              </c:extLst>
            </c:dLbl>
            <c:dLbl>
              <c:idx val="7"/>
              <c:tx>
                <c:rich>
                  <a:bodyPr/>
                  <a:lstStyle/>
                  <a:p>
                    <a:fld id="{60166014-E5B5-4927-8D25-15FF3377FF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Data'!$A$29:$A$36</c15:f>
                <c15:dlblRangeCache>
                  <c:ptCount val="8"/>
                  <c:pt idx="0">
                    <c:v>Aoiyama</c:v>
                  </c:pt>
                  <c:pt idx="1">
                    <c:v>Hiradoumi</c:v>
                  </c:pt>
                  <c:pt idx="2">
                    <c:v>Nishikifuji</c:v>
                  </c:pt>
                  <c:pt idx="3">
                    <c:v>Myogiryu</c:v>
                  </c:pt>
                  <c:pt idx="4">
                    <c:v>Takanosho</c:v>
                  </c:pt>
                  <c:pt idx="5">
                    <c:v>Azumaryu</c:v>
                  </c:pt>
                  <c:pt idx="6">
                    <c:v>Kagayaki</c:v>
                  </c:pt>
                  <c:pt idx="7">
                    <c:v>Takarafuji</c:v>
                  </c:pt>
                </c15:dlblRangeCache>
              </c15:datalabelsRange>
            </c:ext>
            <c:ext xmlns:c16="http://schemas.microsoft.com/office/drawing/2014/chart" uri="{C3380CC4-5D6E-409C-BE32-E72D297353CC}">
              <c16:uniqueId val="{00000028-5B85-4AE0-8D30-117960B5E123}"/>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3B9ABB96-E5D7-4D93-BF88-476BE179E8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85-4AE0-8D30-117960B5E123}"/>
                </c:ext>
              </c:extLst>
            </c:dLbl>
            <c:dLbl>
              <c:idx val="1"/>
              <c:tx>
                <c:rich>
                  <a:bodyPr/>
                  <a:lstStyle/>
                  <a:p>
                    <a:fld id="{B902E466-FE09-4840-A25A-35D5EE5143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85-4AE0-8D30-117960B5E123}"/>
                </c:ext>
              </c:extLst>
            </c:dLbl>
            <c:dLbl>
              <c:idx val="2"/>
              <c:layout>
                <c:manualLayout>
                  <c:x val="-4.3996331098604555E-2"/>
                  <c:y val="-2.6262626262626262E-2"/>
                </c:manualLayout>
              </c:layout>
              <c:tx>
                <c:rich>
                  <a:bodyPr/>
                  <a:lstStyle/>
                  <a:p>
                    <a:fld id="{A2A6868D-4ECB-4B37-9F9F-E6696B4284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B85-4AE0-8D30-117960B5E123}"/>
                </c:ext>
              </c:extLst>
            </c:dLbl>
            <c:dLbl>
              <c:idx val="3"/>
              <c:tx>
                <c:rich>
                  <a:bodyPr/>
                  <a:lstStyle/>
                  <a:p>
                    <a:fld id="{C8AA1009-16B0-46F2-AC15-D8C4A206FD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85-4AE0-8D30-117960B5E123}"/>
                </c:ext>
              </c:extLst>
            </c:dLbl>
            <c:dLbl>
              <c:idx val="4"/>
              <c:tx>
                <c:rich>
                  <a:bodyPr/>
                  <a:lstStyle/>
                  <a:p>
                    <a:fld id="{C0887262-CDD2-494D-BBAC-DD2C947E7D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85-4AE0-8D30-117960B5E123}"/>
                </c:ext>
              </c:extLst>
            </c:dLbl>
            <c:dLbl>
              <c:idx val="5"/>
              <c:tx>
                <c:rich>
                  <a:bodyPr/>
                  <a:lstStyle/>
                  <a:p>
                    <a:fld id="{CDD2E85B-B5BF-4F08-B6F2-9F9C4E84C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85-4AE0-8D30-117960B5E123}"/>
                </c:ext>
              </c:extLst>
            </c:dLbl>
            <c:dLbl>
              <c:idx val="6"/>
              <c:tx>
                <c:rich>
                  <a:bodyPr/>
                  <a:lstStyle/>
                  <a:p>
                    <a:fld id="{1C93EB7D-6FA5-4708-92B1-E6AED001F3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85-4AE0-8D30-117960B5E123}"/>
                </c:ext>
              </c:extLst>
            </c:dLbl>
            <c:dLbl>
              <c:idx val="7"/>
              <c:tx>
                <c:rich>
                  <a:bodyPr/>
                  <a:lstStyle/>
                  <a:p>
                    <a:fld id="{D79443BA-9926-4906-8138-9179D73F1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85-4AE0-8D30-117960B5E123}"/>
                </c:ext>
              </c:extLst>
            </c:dLbl>
            <c:dLbl>
              <c:idx val="8"/>
              <c:tx>
                <c:rich>
                  <a:bodyPr/>
                  <a:lstStyle/>
                  <a:p>
                    <a:fld id="{8FC678C9-AD32-4C29-A165-0A452DEC8B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Data'!$A$37:$A$45</c15:f>
                <c15:dlblRangeCache>
                  <c:ptCount val="9"/>
                  <c:pt idx="0">
                    <c:v>Kotoeko</c:v>
                  </c:pt>
                  <c:pt idx="1">
                    <c:v>Daishoho</c:v>
                  </c:pt>
                  <c:pt idx="2">
                    <c:v>Kinbozan</c:v>
                  </c:pt>
                  <c:pt idx="3">
                    <c:v>Bushozan</c:v>
                  </c:pt>
                  <c:pt idx="4">
                    <c:v>Oho</c:v>
                  </c:pt>
                  <c:pt idx="5">
                    <c:v>Hokuseiho</c:v>
                  </c:pt>
                  <c:pt idx="6">
                    <c:v>Chiyoshoma</c:v>
                  </c:pt>
                  <c:pt idx="7">
                    <c:v>Tsurugisho</c:v>
                  </c:pt>
                  <c:pt idx="8">
                    <c:v>Mitoryu</c:v>
                  </c:pt>
                </c15:dlblRangeCache>
              </c15:datalabelsRange>
            </c:ext>
            <c:ext xmlns:c16="http://schemas.microsoft.com/office/drawing/2014/chart" uri="{C3380CC4-5D6E-409C-BE32-E72D297353CC}">
              <c16:uniqueId val="{00000031-5B85-4AE0-8D30-117960B5E123}"/>
            </c:ext>
          </c:extLst>
        </c:ser>
        <c:dLbls>
          <c:showLegendKey val="0"/>
          <c:showVal val="0"/>
          <c:showCatName val="0"/>
          <c:showSerName val="0"/>
          <c:showPercent val="0"/>
          <c:showBubbleSize val="0"/>
        </c:dLbls>
        <c:axId val="745971600"/>
        <c:axId val="745971928"/>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1.9065076809395308E-2"/>
                  <c:y val="-4.4444444444444446E-2"/>
                </c:manualLayout>
              </c:layout>
              <c:tx>
                <c:rich>
                  <a:bodyPr/>
                  <a:lstStyle/>
                  <a:p>
                    <a:fld id="{03E3343A-B317-491E-83D5-F0E4DB190A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Data'!$L$4</c:f>
              <c:numCache>
                <c:formatCode>General</c:formatCode>
                <c:ptCount val="1"/>
                <c:pt idx="0">
                  <c:v>174</c:v>
                </c:pt>
              </c:numCache>
            </c:numRef>
          </c:xVal>
          <c:yVal>
            <c:numRef>
              <c:f>'May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6A53-4CC9-BC04-CCB30645214F}"/>
            </c:ext>
          </c:extLst>
        </c:ser>
        <c:ser>
          <c:idx val="1"/>
          <c:order val="1"/>
          <c:tx>
            <c:v>Ozeki</c:v>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A498CE2B-4038-436A-9AC4-C6A8ABB212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Data'!$L$5</c:f>
              <c:numCache>
                <c:formatCode>General</c:formatCode>
                <c:ptCount val="1"/>
                <c:pt idx="0">
                  <c:v>165</c:v>
                </c:pt>
              </c:numCache>
            </c:numRef>
          </c:xVal>
          <c:yVal>
            <c:numRef>
              <c:f>'May 2023 Data'!$K$5</c:f>
              <c:numCache>
                <c:formatCode>General</c:formatCode>
                <c:ptCount val="1"/>
                <c:pt idx="0">
                  <c:v>175</c:v>
                </c:pt>
              </c:numCache>
            </c:numRef>
          </c:yVal>
          <c:smooth val="0"/>
          <c:extLst>
            <c:ext xmlns:c15="http://schemas.microsoft.com/office/drawing/2012/chart" uri="{02D57815-91ED-43cb-92C2-25804820EDAC}">
              <c15:datalabelsRange>
                <c15:f>'May 2023 Data'!$A$5</c15:f>
                <c15:dlblRangeCache>
                  <c:ptCount val="1"/>
                  <c:pt idx="0">
                    <c:v>Takakeisho</c:v>
                  </c:pt>
                </c15:dlblRangeCache>
              </c15:datalabelsRange>
            </c:ext>
            <c:ext xmlns:c16="http://schemas.microsoft.com/office/drawing/2014/chart" uri="{C3380CC4-5D6E-409C-BE32-E72D297353CC}">
              <c16:uniqueId val="{00000003-6A53-4CC9-BC04-CCB30645214F}"/>
            </c:ext>
          </c:extLst>
        </c:ser>
        <c:ser>
          <c:idx val="2"/>
          <c:order val="2"/>
          <c:tx>
            <c:v>Sekiwake</c:v>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E2CBEBD0-E3AF-4ADA-9E3D-96CBABA580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53-4CC9-BC04-CCB30645214F}"/>
                </c:ext>
              </c:extLst>
            </c:dLbl>
            <c:dLbl>
              <c:idx val="1"/>
              <c:layout>
                <c:manualLayout>
                  <c:x val="-8.7992662197209654E-3"/>
                  <c:y val="-2.2222222222222223E-2"/>
                </c:manualLayout>
              </c:layout>
              <c:tx>
                <c:rich>
                  <a:bodyPr/>
                  <a:lstStyle/>
                  <a:p>
                    <a:fld id="{6F229876-1007-4E66-81D8-AAD1C8F2E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A53-4CC9-BC04-CCB30645214F}"/>
                </c:ext>
              </c:extLst>
            </c:dLbl>
            <c:dLbl>
              <c:idx val="2"/>
              <c:tx>
                <c:rich>
                  <a:bodyPr/>
                  <a:lstStyle/>
                  <a:p>
                    <a:fld id="{C4F15B74-B503-45B3-8B4C-5ABC03E3FA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3-4CC9-BC04-CCB30645214F}"/>
                </c:ext>
              </c:extLst>
            </c:dLbl>
            <c:dLbl>
              <c:idx val="3"/>
              <c:tx>
                <c:rich>
                  <a:bodyPr/>
                  <a:lstStyle/>
                  <a:p>
                    <a:fld id="{4A63DFF4-B6B0-474C-972A-4AFE6697CB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Data'!$L$6:$L$9</c:f>
              <c:numCache>
                <c:formatCode>General</c:formatCode>
                <c:ptCount val="4"/>
                <c:pt idx="0">
                  <c:v>143</c:v>
                </c:pt>
                <c:pt idx="1">
                  <c:v>142</c:v>
                </c:pt>
                <c:pt idx="2">
                  <c:v>147</c:v>
                </c:pt>
                <c:pt idx="3">
                  <c:v>164</c:v>
                </c:pt>
              </c:numCache>
            </c:numRef>
          </c:xVal>
          <c:yVal>
            <c:numRef>
              <c:f>'May 2023 Data'!$K$6:$K$9</c:f>
              <c:numCache>
                <c:formatCode>General</c:formatCode>
                <c:ptCount val="4"/>
                <c:pt idx="0">
                  <c:v>186</c:v>
                </c:pt>
                <c:pt idx="1">
                  <c:v>188</c:v>
                </c:pt>
                <c:pt idx="2">
                  <c:v>187</c:v>
                </c:pt>
                <c:pt idx="3">
                  <c:v>182</c:v>
                </c:pt>
              </c:numCache>
            </c:numRef>
          </c:yVal>
          <c:smooth val="0"/>
          <c:extLst>
            <c:ext xmlns:c15="http://schemas.microsoft.com/office/drawing/2012/chart" uri="{02D57815-91ED-43cb-92C2-25804820EDAC}">
              <c15:datalabelsRange>
                <c15:f>'May 2023 Data'!$A$6:$A$9</c15:f>
                <c15:dlblRangeCache>
                  <c:ptCount val="4"/>
                  <c:pt idx="0">
                    <c:v>Kirishima</c:v>
                  </c:pt>
                  <c:pt idx="1">
                    <c:v>Hoshoryu</c:v>
                  </c:pt>
                  <c:pt idx="2">
                    <c:v>Wakamotoharu</c:v>
                  </c:pt>
                  <c:pt idx="3">
                    <c:v>Daieisho</c:v>
                  </c:pt>
                </c15:dlblRangeCache>
              </c15:datalabelsRange>
            </c:ext>
            <c:ext xmlns:c16="http://schemas.microsoft.com/office/drawing/2014/chart" uri="{C3380CC4-5D6E-409C-BE32-E72D297353CC}">
              <c16:uniqueId val="{00000007-6A53-4CC9-BC04-CCB30645214F}"/>
            </c:ext>
          </c:extLst>
        </c:ser>
        <c:ser>
          <c:idx val="3"/>
          <c:order val="3"/>
          <c:tx>
            <c:v>Komusubi</c:v>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tx>
                <c:rich>
                  <a:bodyPr/>
                  <a:lstStyle/>
                  <a:p>
                    <a:fld id="{914FD585-F614-41DE-9D15-0154B8CC3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3-4CC9-BC04-CCB30645214F}"/>
                </c:ext>
              </c:extLst>
            </c:dLbl>
            <c:dLbl>
              <c:idx val="1"/>
              <c:tx>
                <c:rich>
                  <a:bodyPr/>
                  <a:lstStyle/>
                  <a:p>
                    <a:fld id="{6A39E5EC-E070-402B-8153-0EDDF4C162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3-4CC9-BC04-CCB30645214F}"/>
                </c:ext>
              </c:extLst>
            </c:dLbl>
            <c:dLbl>
              <c:idx val="2"/>
              <c:tx>
                <c:rich>
                  <a:bodyPr/>
                  <a:lstStyle/>
                  <a:p>
                    <a:fld id="{FC9AF546-834B-4532-B8CF-6CFC989073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Data'!$L$10:$L$12</c:f>
              <c:numCache>
                <c:formatCode>General</c:formatCode>
                <c:ptCount val="3"/>
                <c:pt idx="0">
                  <c:v>176</c:v>
                </c:pt>
                <c:pt idx="1">
                  <c:v>158</c:v>
                </c:pt>
                <c:pt idx="2">
                  <c:v>135</c:v>
                </c:pt>
              </c:numCache>
            </c:numRef>
          </c:xVal>
          <c:yVal>
            <c:numRef>
              <c:f>'May 2023 Data'!$K$10:$K$12</c:f>
              <c:numCache>
                <c:formatCode>General</c:formatCode>
                <c:ptCount val="3"/>
                <c:pt idx="0">
                  <c:v>189</c:v>
                </c:pt>
                <c:pt idx="1">
                  <c:v>186</c:v>
                </c:pt>
                <c:pt idx="2">
                  <c:v>174</c:v>
                </c:pt>
              </c:numCache>
            </c:numRef>
          </c:yVal>
          <c:smooth val="0"/>
          <c:extLst>
            <c:ext xmlns:c15="http://schemas.microsoft.com/office/drawing/2012/chart" uri="{02D57815-91ED-43cb-92C2-25804820EDAC}">
              <c15:datalabelsRange>
                <c15:f>'May 2023 Data'!$A$10:$A$12</c15:f>
                <c15:dlblRangeCache>
                  <c:ptCount val="3"/>
                  <c:pt idx="0">
                    <c:v>Kotonowaka</c:v>
                  </c:pt>
                  <c:pt idx="1">
                    <c:v>Abi</c:v>
                  </c:pt>
                  <c:pt idx="2">
                    <c:v>Tobizaru</c:v>
                  </c:pt>
                </c15:dlblRangeCache>
              </c15:datalabelsRange>
            </c:ext>
            <c:ext xmlns:c16="http://schemas.microsoft.com/office/drawing/2014/chart" uri="{C3380CC4-5D6E-409C-BE32-E72D297353CC}">
              <c16:uniqueId val="{0000000C-6A53-4CC9-BC04-CCB30645214F}"/>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7EEF9A1C-2D28-4735-ABA7-815CBF664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3-4CC9-BC04-CCB30645214F}"/>
                </c:ext>
              </c:extLst>
            </c:dLbl>
            <c:dLbl>
              <c:idx val="1"/>
              <c:tx>
                <c:rich>
                  <a:bodyPr/>
                  <a:lstStyle/>
                  <a:p>
                    <a:fld id="{D212108B-FD2C-41E9-AC7F-515380315F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3-4CC9-BC04-CCB30645214F}"/>
                </c:ext>
              </c:extLst>
            </c:dLbl>
            <c:dLbl>
              <c:idx val="2"/>
              <c:tx>
                <c:rich>
                  <a:bodyPr/>
                  <a:lstStyle/>
                  <a:p>
                    <a:fld id="{0800CB63-0FA9-4A13-9741-3207F145C2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3-4CC9-BC04-CCB30645214F}"/>
                </c:ext>
              </c:extLst>
            </c:dLbl>
            <c:dLbl>
              <c:idx val="3"/>
              <c:tx>
                <c:rich>
                  <a:bodyPr/>
                  <a:lstStyle/>
                  <a:p>
                    <a:fld id="{7B78E83A-AF2C-4AC1-AB9E-DC71EEC51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53-4CC9-BC04-CCB30645214F}"/>
                </c:ext>
              </c:extLst>
            </c:dLbl>
            <c:dLbl>
              <c:idx val="4"/>
              <c:tx>
                <c:rich>
                  <a:bodyPr/>
                  <a:lstStyle/>
                  <a:p>
                    <a:fld id="{5A30318D-8E23-40D2-A8F9-2DAFA56EA8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53-4CC9-BC04-CCB30645214F}"/>
                </c:ext>
              </c:extLst>
            </c:dLbl>
            <c:dLbl>
              <c:idx val="5"/>
              <c:tx>
                <c:rich>
                  <a:bodyPr/>
                  <a:lstStyle/>
                  <a:p>
                    <a:fld id="{13A7333A-DADE-43CA-ACDF-486E0332E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53-4CC9-BC04-CCB30645214F}"/>
                </c:ext>
              </c:extLst>
            </c:dLbl>
            <c:dLbl>
              <c:idx val="6"/>
              <c:layout>
                <c:manualLayout>
                  <c:x val="-2.4931254289209247E-2"/>
                  <c:y val="2.8282828282828285E-2"/>
                </c:manualLayout>
              </c:layout>
              <c:tx>
                <c:rich>
                  <a:bodyPr/>
                  <a:lstStyle/>
                  <a:p>
                    <a:fld id="{F3CD8976-0847-4B0A-A2E2-69E996685A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A53-4CC9-BC04-CCB30645214F}"/>
                </c:ext>
              </c:extLst>
            </c:dLbl>
            <c:dLbl>
              <c:idx val="7"/>
              <c:tx>
                <c:rich>
                  <a:bodyPr/>
                  <a:lstStyle/>
                  <a:p>
                    <a:fld id="{2CE6DA9D-7920-48DD-946D-7A2D990C6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Data'!$L$13:$L$20</c:f>
              <c:numCache>
                <c:formatCode>General</c:formatCode>
                <c:ptCount val="8"/>
                <c:pt idx="0">
                  <c:v>180</c:v>
                </c:pt>
                <c:pt idx="1">
                  <c:v>161</c:v>
                </c:pt>
                <c:pt idx="2">
                  <c:v>170</c:v>
                </c:pt>
                <c:pt idx="3">
                  <c:v>116</c:v>
                </c:pt>
                <c:pt idx="4">
                  <c:v>154</c:v>
                </c:pt>
                <c:pt idx="5">
                  <c:v>143</c:v>
                </c:pt>
                <c:pt idx="6">
                  <c:v>168</c:v>
                </c:pt>
                <c:pt idx="7">
                  <c:v>165</c:v>
                </c:pt>
              </c:numCache>
            </c:numRef>
          </c:xVal>
          <c:yVal>
            <c:numRef>
              <c:f>'May 2023 Data'!$K$13:$K$20</c:f>
              <c:numCache>
                <c:formatCode>General</c:formatCode>
                <c:ptCount val="8"/>
                <c:pt idx="0">
                  <c:v>185</c:v>
                </c:pt>
                <c:pt idx="1">
                  <c:v>184</c:v>
                </c:pt>
                <c:pt idx="2">
                  <c:v>179</c:v>
                </c:pt>
                <c:pt idx="3">
                  <c:v>171</c:v>
                </c:pt>
                <c:pt idx="4">
                  <c:v>180</c:v>
                </c:pt>
                <c:pt idx="5">
                  <c:v>175</c:v>
                </c:pt>
                <c:pt idx="6">
                  <c:v>189</c:v>
                </c:pt>
                <c:pt idx="7">
                  <c:v>177</c:v>
                </c:pt>
              </c:numCache>
            </c:numRef>
          </c:yVal>
          <c:smooth val="0"/>
          <c:extLst>
            <c:ext xmlns:c15="http://schemas.microsoft.com/office/drawing/2012/chart" uri="{02D57815-91ED-43cb-92C2-25804820EDAC}">
              <c15:datalabelsRange>
                <c15:f>'May 2023 Data'!$A$37:$A$45</c15:f>
                <c15:dlblRangeCache>
                  <c:ptCount val="9"/>
                  <c:pt idx="0">
                    <c:v>Gonoyama</c:v>
                  </c:pt>
                  <c:pt idx="1">
                    <c:v>Daishoho</c:v>
                  </c:pt>
                  <c:pt idx="2">
                    <c:v>Shonannoumi</c:v>
                  </c:pt>
                  <c:pt idx="3">
                    <c:v>Ryuden</c:v>
                  </c:pt>
                  <c:pt idx="4">
                    <c:v>Takarafuji</c:v>
                  </c:pt>
                  <c:pt idx="5">
                    <c:v>Endo</c:v>
                  </c:pt>
                  <c:pt idx="6">
                    <c:v>Bushozan</c:v>
                  </c:pt>
                  <c:pt idx="7">
                    <c:v>Aoiyama</c:v>
                  </c:pt>
                  <c:pt idx="8">
                    <c:v>Hakuoho</c:v>
                  </c:pt>
                </c15:dlblRangeCache>
              </c15:datalabelsRange>
            </c:ext>
            <c:ext xmlns:c16="http://schemas.microsoft.com/office/drawing/2014/chart" uri="{C3380CC4-5D6E-409C-BE32-E72D297353CC}">
              <c16:uniqueId val="{00000015-6A53-4CC9-BC04-CCB30645214F}"/>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0B306731-7CA4-46CB-9AE8-C6B33FB9DC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53-4CC9-BC04-CCB30645214F}"/>
                </c:ext>
              </c:extLst>
            </c:dLbl>
            <c:dLbl>
              <c:idx val="1"/>
              <c:tx>
                <c:rich>
                  <a:bodyPr/>
                  <a:lstStyle/>
                  <a:p>
                    <a:fld id="{0F299733-9917-41B4-B01B-EB5CB20E0D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53-4CC9-BC04-CCB30645214F}"/>
                </c:ext>
              </c:extLst>
            </c:dLbl>
            <c:dLbl>
              <c:idx val="2"/>
              <c:tx>
                <c:rich>
                  <a:bodyPr/>
                  <a:lstStyle/>
                  <a:p>
                    <a:fld id="{DC747267-98E2-4D81-ADE7-2EEFA4F416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53-4CC9-BC04-CCB30645214F}"/>
                </c:ext>
              </c:extLst>
            </c:dLbl>
            <c:dLbl>
              <c:idx val="3"/>
              <c:tx>
                <c:rich>
                  <a:bodyPr/>
                  <a:lstStyle/>
                  <a:p>
                    <a:fld id="{D6440D80-95F5-4276-8D80-EBE1CBA33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53-4CC9-BC04-CCB30645214F}"/>
                </c:ext>
              </c:extLst>
            </c:dLbl>
            <c:dLbl>
              <c:idx val="4"/>
              <c:layout>
                <c:manualLayout>
                  <c:x val="-2.9330887399069703E-3"/>
                  <c:y val="3.2323232323232323E-2"/>
                </c:manualLayout>
              </c:layout>
              <c:tx>
                <c:rich>
                  <a:bodyPr/>
                  <a:lstStyle/>
                  <a:p>
                    <a:fld id="{81DF9389-3C64-49DB-A645-08C294292D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A53-4CC9-BC04-CCB30645214F}"/>
                </c:ext>
              </c:extLst>
            </c:dLbl>
            <c:dLbl>
              <c:idx val="5"/>
              <c:layout>
                <c:manualLayout>
                  <c:x val="-3.2263976138976622E-2"/>
                  <c:y val="2.2222222222222223E-2"/>
                </c:manualLayout>
              </c:layout>
              <c:tx>
                <c:rich>
                  <a:bodyPr/>
                  <a:lstStyle/>
                  <a:p>
                    <a:fld id="{CB610626-CD31-41C9-8C7E-CBAFDA9C1C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A53-4CC9-BC04-CCB30645214F}"/>
                </c:ext>
              </c:extLst>
            </c:dLbl>
            <c:dLbl>
              <c:idx val="6"/>
              <c:tx>
                <c:rich>
                  <a:bodyPr/>
                  <a:lstStyle/>
                  <a:p>
                    <a:fld id="{A4290B57-1A55-4ACF-96EC-F45CB3F13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53-4CC9-BC04-CCB30645214F}"/>
                </c:ext>
              </c:extLst>
            </c:dLbl>
            <c:dLbl>
              <c:idx val="7"/>
              <c:layout>
                <c:manualLayout>
                  <c:x val="-2.9330887399069756E-2"/>
                  <c:y val="2.8282828282828135E-2"/>
                </c:manualLayout>
              </c:layout>
              <c:tx>
                <c:rich>
                  <a:bodyPr/>
                  <a:lstStyle/>
                  <a:p>
                    <a:fld id="{DB3CBF92-FDBF-4119-9E56-CB58BC649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Data'!$L$21:$L$28</c:f>
              <c:numCache>
                <c:formatCode>General</c:formatCode>
                <c:ptCount val="8"/>
                <c:pt idx="0">
                  <c:v>135</c:v>
                </c:pt>
                <c:pt idx="1">
                  <c:v>185</c:v>
                </c:pt>
                <c:pt idx="2">
                  <c:v>179</c:v>
                </c:pt>
                <c:pt idx="3">
                  <c:v>183</c:v>
                </c:pt>
                <c:pt idx="4">
                  <c:v>174</c:v>
                </c:pt>
                <c:pt idx="5">
                  <c:v>149</c:v>
                </c:pt>
                <c:pt idx="6">
                  <c:v>142</c:v>
                </c:pt>
                <c:pt idx="7">
                  <c:v>158</c:v>
                </c:pt>
              </c:numCache>
            </c:numRef>
          </c:xVal>
          <c:yVal>
            <c:numRef>
              <c:f>'May 2023 Data'!$K$21:$K$28</c:f>
              <c:numCache>
                <c:formatCode>General</c:formatCode>
                <c:ptCount val="8"/>
                <c:pt idx="0">
                  <c:v>177</c:v>
                </c:pt>
                <c:pt idx="1">
                  <c:v>204</c:v>
                </c:pt>
                <c:pt idx="2">
                  <c:v>190</c:v>
                </c:pt>
                <c:pt idx="3">
                  <c:v>188</c:v>
                </c:pt>
                <c:pt idx="4">
                  <c:v>189</c:v>
                </c:pt>
                <c:pt idx="5">
                  <c:v>184</c:v>
                </c:pt>
                <c:pt idx="6">
                  <c:v>182</c:v>
                </c:pt>
                <c:pt idx="7">
                  <c:v>184</c:v>
                </c:pt>
              </c:numCache>
            </c:numRef>
          </c:yVal>
          <c:smooth val="0"/>
          <c:extLst>
            <c:ext xmlns:c15="http://schemas.microsoft.com/office/drawing/2012/chart" uri="{02D57815-91ED-43cb-92C2-25804820EDAC}">
              <c15:datalabelsRange>
                <c15:f>'May 2023 Data'!$A$13:$A$20</c15:f>
                <c15:dlblRangeCache>
                  <c:ptCount val="8"/>
                  <c:pt idx="0">
                    <c:v>Nishikigi</c:v>
                  </c:pt>
                  <c:pt idx="1">
                    <c:v>Shodai</c:v>
                  </c:pt>
                  <c:pt idx="2">
                    <c:v>Mitakeumi</c:v>
                  </c:pt>
                  <c:pt idx="3">
                    <c:v>Midorifuji</c:v>
                  </c:pt>
                  <c:pt idx="4">
                    <c:v>Meisei</c:v>
                  </c:pt>
                  <c:pt idx="5">
                    <c:v>Ura</c:v>
                  </c:pt>
                  <c:pt idx="6">
                    <c:v>Asanoyama</c:v>
                  </c:pt>
                  <c:pt idx="7">
                    <c:v>Onosho</c:v>
                  </c:pt>
                </c15:dlblRangeCache>
              </c15:datalabelsRange>
            </c:ext>
            <c:ext xmlns:c16="http://schemas.microsoft.com/office/drawing/2014/chart" uri="{C3380CC4-5D6E-409C-BE32-E72D297353CC}">
              <c16:uniqueId val="{0000001E-6A53-4CC9-BC04-CCB30645214F}"/>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C9BF2236-52F7-4009-8ADC-96B272879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53-4CC9-BC04-CCB30645214F}"/>
                </c:ext>
              </c:extLst>
            </c:dLbl>
            <c:dLbl>
              <c:idx val="1"/>
              <c:tx>
                <c:rich>
                  <a:bodyPr/>
                  <a:lstStyle/>
                  <a:p>
                    <a:fld id="{84A9D0EA-187E-4591-B748-4CEF2E984D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53-4CC9-BC04-CCB30645214F}"/>
                </c:ext>
              </c:extLst>
            </c:dLbl>
            <c:dLbl>
              <c:idx val="2"/>
              <c:tx>
                <c:rich>
                  <a:bodyPr/>
                  <a:lstStyle/>
                  <a:p>
                    <a:fld id="{425F1A71-D773-42B6-B36C-55845BD519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53-4CC9-BC04-CCB30645214F}"/>
                </c:ext>
              </c:extLst>
            </c:dLbl>
            <c:dLbl>
              <c:idx val="3"/>
              <c:tx>
                <c:rich>
                  <a:bodyPr/>
                  <a:lstStyle/>
                  <a:p>
                    <a:fld id="{685C230C-B141-42DA-9AAD-D9BAE2983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53-4CC9-BC04-CCB30645214F}"/>
                </c:ext>
              </c:extLst>
            </c:dLbl>
            <c:dLbl>
              <c:idx val="4"/>
              <c:layout>
                <c:manualLayout>
                  <c:x val="-1.4665443699534852E-2"/>
                  <c:y val="-3.6363636363636292E-2"/>
                </c:manualLayout>
              </c:layout>
              <c:tx>
                <c:rich>
                  <a:bodyPr/>
                  <a:lstStyle/>
                  <a:p>
                    <a:fld id="{DD058B80-2677-45A9-A963-19794D188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A53-4CC9-BC04-CCB30645214F}"/>
                </c:ext>
              </c:extLst>
            </c:dLbl>
            <c:dLbl>
              <c:idx val="5"/>
              <c:tx>
                <c:rich>
                  <a:bodyPr/>
                  <a:lstStyle/>
                  <a:p>
                    <a:fld id="{9BFE43B5-00DA-4E8E-8EB3-AF55813A42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A53-4CC9-BC04-CCB30645214F}"/>
                </c:ext>
              </c:extLst>
            </c:dLbl>
            <c:dLbl>
              <c:idx val="6"/>
              <c:tx>
                <c:rich>
                  <a:bodyPr/>
                  <a:lstStyle/>
                  <a:p>
                    <a:fld id="{D08436E8-B20B-4136-996D-6811D5E9E8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A53-4CC9-BC04-CCB30645214F}"/>
                </c:ext>
              </c:extLst>
            </c:dLbl>
            <c:dLbl>
              <c:idx val="7"/>
              <c:tx>
                <c:rich>
                  <a:bodyPr/>
                  <a:lstStyle/>
                  <a:p>
                    <a:fld id="{A877B1AB-32AA-4AC4-8EA8-FD3123437D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Data'!$L$29:$L$36</c:f>
              <c:numCache>
                <c:formatCode>General</c:formatCode>
                <c:ptCount val="8"/>
                <c:pt idx="0">
                  <c:v>170</c:v>
                </c:pt>
                <c:pt idx="1">
                  <c:v>181</c:v>
                </c:pt>
                <c:pt idx="2">
                  <c:v>156</c:v>
                </c:pt>
                <c:pt idx="3">
                  <c:v>133</c:v>
                </c:pt>
                <c:pt idx="4">
                  <c:v>194</c:v>
                </c:pt>
                <c:pt idx="5">
                  <c:v>132</c:v>
                </c:pt>
                <c:pt idx="6">
                  <c:v>137</c:v>
                </c:pt>
                <c:pt idx="7">
                  <c:v>161</c:v>
                </c:pt>
              </c:numCache>
            </c:numRef>
          </c:xVal>
          <c:yVal>
            <c:numRef>
              <c:f>'May 2023 Data'!$K$29:$K$36</c:f>
              <c:numCache>
                <c:formatCode>General</c:formatCode>
                <c:ptCount val="8"/>
                <c:pt idx="0">
                  <c:v>183</c:v>
                </c:pt>
                <c:pt idx="1">
                  <c:v>192</c:v>
                </c:pt>
                <c:pt idx="2">
                  <c:v>188</c:v>
                </c:pt>
                <c:pt idx="3">
                  <c:v>176</c:v>
                </c:pt>
                <c:pt idx="4">
                  <c:v>185</c:v>
                </c:pt>
                <c:pt idx="5">
                  <c:v>182</c:v>
                </c:pt>
                <c:pt idx="6">
                  <c:v>184</c:v>
                </c:pt>
                <c:pt idx="7">
                  <c:v>191</c:v>
                </c:pt>
              </c:numCache>
            </c:numRef>
          </c:yVal>
          <c:smooth val="0"/>
          <c:extLst>
            <c:ext xmlns:c15="http://schemas.microsoft.com/office/drawing/2012/chart" uri="{02D57815-91ED-43cb-92C2-25804820EDAC}">
              <c15:datalabelsRange>
                <c15:f>'May 2023 Data'!$A$37:$A$45</c15:f>
                <c15:dlblRangeCache>
                  <c:ptCount val="9"/>
                  <c:pt idx="0">
                    <c:v>Gonoyama</c:v>
                  </c:pt>
                  <c:pt idx="1">
                    <c:v>Daishoho</c:v>
                  </c:pt>
                  <c:pt idx="2">
                    <c:v>Shonannoumi</c:v>
                  </c:pt>
                  <c:pt idx="3">
                    <c:v>Ryuden</c:v>
                  </c:pt>
                  <c:pt idx="4">
                    <c:v>Takarafuji</c:v>
                  </c:pt>
                  <c:pt idx="5">
                    <c:v>Endo</c:v>
                  </c:pt>
                  <c:pt idx="6">
                    <c:v>Bushozan</c:v>
                  </c:pt>
                  <c:pt idx="7">
                    <c:v>Aoiyama</c:v>
                  </c:pt>
                  <c:pt idx="8">
                    <c:v>Hakuoho</c:v>
                  </c:pt>
                </c15:dlblRangeCache>
              </c15:datalabelsRange>
            </c:ext>
            <c:ext xmlns:c16="http://schemas.microsoft.com/office/drawing/2014/chart" uri="{C3380CC4-5D6E-409C-BE32-E72D297353CC}">
              <c16:uniqueId val="{00000027-6A53-4CC9-BC04-CCB30645214F}"/>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A53-4CC9-BC04-CCB30645214F}"/>
                </c:ext>
              </c:extLst>
            </c:dLbl>
            <c:dLbl>
              <c:idx val="1"/>
              <c:tx>
                <c:rich>
                  <a:bodyPr/>
                  <a:lstStyle/>
                  <a:p>
                    <a:fld id="{6F54263C-CF16-417F-BAF6-473B2DDBC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A53-4CC9-BC04-CCB30645214F}"/>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A53-4CC9-BC04-CCB30645214F}"/>
                </c:ext>
              </c:extLst>
            </c:dLbl>
            <c:dLbl>
              <c:idx val="3"/>
              <c:layout>
                <c:manualLayout>
                  <c:x val="-4.252978672865107E-2"/>
                  <c:y val="-2.4242424242424242E-2"/>
                </c:manualLayout>
              </c:layout>
              <c:tx>
                <c:rich>
                  <a:bodyPr/>
                  <a:lstStyle/>
                  <a:p>
                    <a:fld id="{CF31F95D-FE06-47CA-8CB5-06736F11A1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6A53-4CC9-BC04-CCB30645214F}"/>
                </c:ext>
              </c:extLst>
            </c:dLbl>
            <c:dLbl>
              <c:idx val="4"/>
              <c:tx>
                <c:rich>
                  <a:bodyPr/>
                  <a:lstStyle/>
                  <a:p>
                    <a:fld id="{C0298BF9-3B5E-44E7-82F9-22460F196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6A53-4CC9-BC04-CCB30645214F}"/>
                </c:ext>
              </c:extLst>
            </c:dLbl>
            <c:dLbl>
              <c:idx val="5"/>
              <c:tx>
                <c:rich>
                  <a:bodyPr/>
                  <a:lstStyle/>
                  <a:p>
                    <a:fld id="{DE8A0DA0-85EA-4EF9-9DCD-BE20AB2BFC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6A53-4CC9-BC04-CCB30645214F}"/>
                </c:ext>
              </c:extLst>
            </c:dLbl>
            <c:dLbl>
              <c:idx val="6"/>
              <c:tx>
                <c:rich>
                  <a:bodyPr/>
                  <a:lstStyle/>
                  <a:p>
                    <a:fld id="{68D09EB6-CA38-4045-9A10-616139042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A53-4CC9-BC04-CCB30645214F}"/>
                </c:ext>
              </c:extLst>
            </c:dLbl>
            <c:dLbl>
              <c:idx val="7"/>
              <c:tx>
                <c:rich>
                  <a:bodyPr/>
                  <a:lstStyle/>
                  <a:p>
                    <a:fld id="{B0EA92C8-4EF0-4892-B51D-6238FB1DDC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6A53-4CC9-BC04-CCB30645214F}"/>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Data'!$L$37:$L$45</c:f>
              <c:numCache>
                <c:formatCode>General</c:formatCode>
                <c:ptCount val="9"/>
                <c:pt idx="1">
                  <c:v>196</c:v>
                </c:pt>
                <c:pt idx="3">
                  <c:v>155</c:v>
                </c:pt>
                <c:pt idx="4">
                  <c:v>171</c:v>
                </c:pt>
                <c:pt idx="5">
                  <c:v>150</c:v>
                </c:pt>
                <c:pt idx="6">
                  <c:v>171</c:v>
                </c:pt>
                <c:pt idx="7">
                  <c:v>186</c:v>
                </c:pt>
              </c:numCache>
            </c:numRef>
          </c:xVal>
          <c:yVal>
            <c:numRef>
              <c:f>'May 2023 Data'!$K$37:$K$45</c:f>
              <c:numCache>
                <c:formatCode>General</c:formatCode>
                <c:ptCount val="9"/>
                <c:pt idx="1">
                  <c:v>185</c:v>
                </c:pt>
                <c:pt idx="3">
                  <c:v>188</c:v>
                </c:pt>
                <c:pt idx="4">
                  <c:v>186</c:v>
                </c:pt>
                <c:pt idx="5">
                  <c:v>184</c:v>
                </c:pt>
                <c:pt idx="6">
                  <c:v>171</c:v>
                </c:pt>
                <c:pt idx="7">
                  <c:v>191</c:v>
                </c:pt>
              </c:numCache>
            </c:numRef>
          </c:yVal>
          <c:smooth val="0"/>
          <c:extLst>
            <c:ext xmlns:c15="http://schemas.microsoft.com/office/drawing/2012/chart" uri="{02D57815-91ED-43cb-92C2-25804820EDAC}">
              <c15:datalabelsRange>
                <c15:f>'May 2023 Data'!$A$29:$A$36</c15:f>
                <c15:dlblRangeCache>
                  <c:ptCount val="8"/>
                  <c:pt idx="0">
                    <c:v>Takanosho</c:v>
                  </c:pt>
                  <c:pt idx="1">
                    <c:v>Kinbozan</c:v>
                  </c:pt>
                  <c:pt idx="2">
                    <c:v>Myogiryu</c:v>
                  </c:pt>
                  <c:pt idx="3">
                    <c:v>Kotoeko</c:v>
                  </c:pt>
                  <c:pt idx="4">
                    <c:v>Tsurugisho</c:v>
                  </c:pt>
                  <c:pt idx="5">
                    <c:v>Wakatakakage</c:v>
                  </c:pt>
                  <c:pt idx="6">
                    <c:v>Chiyoshoma</c:v>
                  </c:pt>
                  <c:pt idx="7">
                    <c:v>Kotoshoho</c:v>
                  </c:pt>
                </c15:dlblRangeCache>
              </c15:datalabelsRange>
            </c:ext>
            <c:ext xmlns:c16="http://schemas.microsoft.com/office/drawing/2014/chart" uri="{C3380CC4-5D6E-409C-BE32-E72D297353CC}">
              <c16:uniqueId val="{00000031-6A53-4CC9-BC04-CCB30645214F}"/>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f/>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6E0341-649D-40C2-90A4-9EFFB96E8097}">
  <sheetPr/>
  <sheetViews>
    <sheetView zoomScale="16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2AC23-5909-466A-8907-5EEA43C07256}">
  <sheetPr/>
  <sheetViews>
    <sheetView zoomScale="1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EEBFAF-6685-4F3B-847F-7BD19369A0CD}">
  <sheetPr/>
  <sheetViews>
    <sheetView zoomScale="11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A3264C-9058-4280-A1CD-207014CC0443}">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D75502-0363-4757-B294-9A2D7B3EFB5E}">
  <sheetPr/>
  <sheetViews>
    <sheetView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6F66203E-4669-C2E9-691C-750CDDBE1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14EAFF55-565C-5EB2-AA57-81AA947792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400" cy="627380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AA4123F7-B4BB-5BC2-9DE3-E3A33D7FC230}"/>
            </a:ext>
          </a:extLst>
        </cdr:cNvPr>
        <cdr:cNvSpPr>
          <a:spLocks xmlns:a="http://schemas.openxmlformats.org/drawingml/2006/main" noTextEdit="1"/>
        </cdr:cNvSpPr>
      </cdr:nvSpPr>
      <cdr:spPr>
        <a:xfrm xmlns:a="http://schemas.openxmlformats.org/drawingml/2006/main">
          <a:off x="0" y="0"/>
          <a:ext cx="8661400" cy="627380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E9B09C3F-DFBD-931C-10F7-AFDE98BA4C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4E63EC65-EF68-A89E-7B73-4D6B6DE9A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F8589C4C-F353-0312-184B-E79662E069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sumo.or.jp/EnHonbashoBanzuke/index/" TargetMode="External"/><Relationship Id="rId1" Type="http://schemas.openxmlformats.org/officeDocument/2006/relationships/hyperlink" Target="https://www.sumo.or.jp/EnHonbashoBanzuke/index/"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sumo.or.jp/EnHonbashoBanzuke/index/" TargetMode="External"/><Relationship Id="rId7" Type="http://schemas.openxmlformats.org/officeDocument/2006/relationships/drawing" Target="../drawings/drawing13.xml"/><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6" Type="http://schemas.openxmlformats.org/officeDocument/2006/relationships/printerSettings" Target="../printerSettings/printerSettings9.bin"/><Relationship Id="rId5" Type="http://schemas.openxmlformats.org/officeDocument/2006/relationships/hyperlink" Target="https://www.sumo.or.jp/EnHonbashoBanzuke/index/" TargetMode="External"/><Relationship Id="rId4" Type="http://schemas.openxmlformats.org/officeDocument/2006/relationships/hyperlink" Target="https://www.sumo.or.jp/EnHonbashoBanzuke/inde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umo.or.jp/EnHonbashoBanzuke/inde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umo.or.jp/EnHonbashoBanzuke/index/"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umo.or.jp/EnHonbashoBanzuk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9" activePane="bottomRight" state="frozen"/>
      <selection pane="topRight" activeCell="B1" sqref="B1"/>
      <selection pane="bottomLeft" activeCell="A4" sqref="A4"/>
      <selection pane="bottomRight" activeCell="L13" sqref="L13"/>
    </sheetView>
  </sheetViews>
  <sheetFormatPr defaultRowHeight="14.5" x14ac:dyDescent="0.35"/>
  <cols>
    <col min="1" max="4" width="21.1796875" customWidth="1"/>
    <col min="7" max="7" width="11.26953125" bestFit="1" customWidth="1"/>
    <col min="8" max="8" width="8.7265625" style="4"/>
  </cols>
  <sheetData>
    <row r="2" spans="1:17" x14ac:dyDescent="0.35">
      <c r="C2" t="s">
        <v>134</v>
      </c>
    </row>
    <row r="3" spans="1:17" x14ac:dyDescent="0.35">
      <c r="A3" t="s">
        <v>3</v>
      </c>
      <c r="B3" t="s">
        <v>11</v>
      </c>
      <c r="C3" t="s">
        <v>131</v>
      </c>
      <c r="D3" t="s">
        <v>156</v>
      </c>
      <c r="E3" t="s">
        <v>5</v>
      </c>
      <c r="F3" t="s">
        <v>4</v>
      </c>
      <c r="G3" t="s">
        <v>26</v>
      </c>
      <c r="H3" s="4" t="s">
        <v>6</v>
      </c>
      <c r="I3" t="s">
        <v>7</v>
      </c>
      <c r="J3" t="s">
        <v>8</v>
      </c>
      <c r="K3" t="s">
        <v>9</v>
      </c>
      <c r="L3" t="s">
        <v>10</v>
      </c>
      <c r="Q3" s="14"/>
    </row>
    <row r="4" spans="1:17" x14ac:dyDescent="0.35">
      <c r="A4" s="1" t="s">
        <v>86</v>
      </c>
      <c r="B4" s="1">
        <v>7</v>
      </c>
      <c r="C4" s="1" t="s">
        <v>14</v>
      </c>
      <c r="D4" s="1">
        <f>_xlfn.XLOOKUP(C4,'rank lookup'!$A$1:$A$21,'rank lookup'!$B$1:$B$21,,0)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x14ac:dyDescent="0.35">
      <c r="A5" s="1" t="s">
        <v>123</v>
      </c>
      <c r="B5" s="1">
        <v>2</v>
      </c>
      <c r="C5" s="1" t="s">
        <v>39</v>
      </c>
      <c r="D5" s="1">
        <f>_xlfn.XLOOKUP(C5,'rank lookup'!$A$1:$A$21,'rank lookup'!$B$1:$B$21,,0)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x14ac:dyDescent="0.35">
      <c r="A6" s="1" t="s">
        <v>116</v>
      </c>
      <c r="B6" s="1">
        <v>2</v>
      </c>
      <c r="C6" s="1" t="s">
        <v>39</v>
      </c>
      <c r="D6" s="1">
        <f>_xlfn.XLOOKUP(C6,'rank lookup'!$A$1:$A$21,'rank lookup'!$B$1:$B$21,,0)</f>
        <v>2</v>
      </c>
      <c r="E6" s="19">
        <v>179</v>
      </c>
      <c r="F6" s="19">
        <v>171</v>
      </c>
      <c r="G6" s="5">
        <f t="shared" si="0"/>
        <v>53.369120813957117</v>
      </c>
      <c r="H6" s="4">
        <f t="shared" si="1"/>
        <v>70.472440944881896</v>
      </c>
      <c r="I6">
        <f t="shared" si="2"/>
        <v>5</v>
      </c>
      <c r="J6">
        <f t="shared" si="3"/>
        <v>10.5</v>
      </c>
      <c r="K6" t="str">
        <f t="shared" si="4"/>
        <v>5' 10.5"</v>
      </c>
      <c r="L6">
        <f t="shared" si="5"/>
        <v>377</v>
      </c>
    </row>
    <row r="7" spans="1:17" x14ac:dyDescent="0.35">
      <c r="A7" s="1" t="s">
        <v>109</v>
      </c>
      <c r="B7" s="1">
        <v>1</v>
      </c>
      <c r="C7" s="1" t="s">
        <v>39</v>
      </c>
      <c r="D7" s="1">
        <f>_xlfn.XLOOKUP(C7,'rank lookup'!$A$1:$A$21,'rank lookup'!$B$1:$B$21,,0)</f>
        <v>2</v>
      </c>
      <c r="E7" s="19">
        <v>183</v>
      </c>
      <c r="F7" s="19">
        <v>162</v>
      </c>
      <c r="G7" s="5">
        <f t="shared" si="0"/>
        <v>48.374092985756519</v>
      </c>
      <c r="H7" s="4">
        <f t="shared" si="1"/>
        <v>72.047244094488192</v>
      </c>
      <c r="I7">
        <f t="shared" si="2"/>
        <v>6</v>
      </c>
      <c r="J7">
        <f t="shared" si="3"/>
        <v>0</v>
      </c>
      <c r="K7" t="str">
        <f t="shared" si="4"/>
        <v>6' 0"</v>
      </c>
      <c r="L7">
        <f t="shared" si="5"/>
        <v>357</v>
      </c>
    </row>
    <row r="8" spans="1:17" x14ac:dyDescent="0.35">
      <c r="A8" s="1" t="s">
        <v>112</v>
      </c>
      <c r="B8" s="1">
        <v>1</v>
      </c>
      <c r="C8" s="1" t="s">
        <v>31</v>
      </c>
      <c r="D8" s="1">
        <f>_xlfn.XLOOKUP(C8,'rank lookup'!$A$1:$A$21,'rank lookup'!$B$1:$B$21,,0)</f>
        <v>3</v>
      </c>
      <c r="E8" s="19">
        <v>182</v>
      </c>
      <c r="F8" s="19">
        <v>161</v>
      </c>
      <c r="G8" s="5">
        <f t="shared" si="0"/>
        <v>48.605240912933226</v>
      </c>
      <c r="H8" s="4">
        <f t="shared" si="1"/>
        <v>71.653543307086608</v>
      </c>
      <c r="I8">
        <f t="shared" si="2"/>
        <v>5</v>
      </c>
      <c r="J8">
        <f t="shared" si="3"/>
        <v>11.7</v>
      </c>
      <c r="K8" t="str">
        <f t="shared" si="4"/>
        <v>5' 11.7"</v>
      </c>
      <c r="L8">
        <f t="shared" si="5"/>
        <v>355</v>
      </c>
    </row>
    <row r="9" spans="1:17" x14ac:dyDescent="0.35">
      <c r="A9" s="1" t="s">
        <v>114</v>
      </c>
      <c r="B9" s="1"/>
      <c r="C9" s="1" t="s">
        <v>31</v>
      </c>
      <c r="D9" s="1">
        <f>_xlfn.XLOOKUP(C9,'rank lookup'!$A$1:$A$21,'rank lookup'!$B$1:$B$21,,0)</f>
        <v>3</v>
      </c>
      <c r="E9" s="19">
        <v>183</v>
      </c>
      <c r="F9" s="19">
        <v>132</v>
      </c>
      <c r="G9" s="5">
        <f t="shared" si="0"/>
        <v>39.415927618023829</v>
      </c>
      <c r="H9" s="4">
        <f t="shared" si="1"/>
        <v>72.047244094488192</v>
      </c>
      <c r="I9">
        <f t="shared" si="2"/>
        <v>6</v>
      </c>
      <c r="J9">
        <f t="shared" si="3"/>
        <v>0</v>
      </c>
      <c r="K9" t="str">
        <f t="shared" si="4"/>
        <v>6' 0"</v>
      </c>
      <c r="L9">
        <f t="shared" si="5"/>
        <v>291</v>
      </c>
    </row>
    <row r="10" spans="1:17" x14ac:dyDescent="0.35">
      <c r="A10" s="1" t="s">
        <v>95</v>
      </c>
      <c r="B10" s="1"/>
      <c r="C10" s="1" t="s">
        <v>31</v>
      </c>
      <c r="D10" s="1">
        <f>_xlfn.XLOOKUP(C10,'rank lookup'!$A$1:$A$21,'rank lookup'!$B$1:$B$21,,0)</f>
        <v>3</v>
      </c>
      <c r="E10" s="19">
        <v>185</v>
      </c>
      <c r="F10" s="19">
        <v>140</v>
      </c>
      <c r="G10" s="5">
        <f t="shared" si="0"/>
        <v>40.905770635500367</v>
      </c>
      <c r="H10" s="4">
        <f t="shared" si="1"/>
        <v>72.834645669291348</v>
      </c>
      <c r="I10">
        <f t="shared" si="2"/>
        <v>6</v>
      </c>
      <c r="J10">
        <f t="shared" si="3"/>
        <v>0.8</v>
      </c>
      <c r="K10" t="str">
        <f t="shared" si="4"/>
        <v>6' 0.8"</v>
      </c>
      <c r="L10">
        <f t="shared" si="5"/>
        <v>309</v>
      </c>
    </row>
    <row r="11" spans="1:17" x14ac:dyDescent="0.35">
      <c r="A11" s="1" t="s">
        <v>102</v>
      </c>
      <c r="B11" s="1"/>
      <c r="C11" s="1" t="s">
        <v>42</v>
      </c>
      <c r="D11" s="1">
        <f>_xlfn.XLOOKUP(C11,'rank lookup'!$A$1:$A$21,'rank lookup'!$B$1:$B$21,,0)</f>
        <v>4</v>
      </c>
      <c r="E11" s="19">
        <v>185</v>
      </c>
      <c r="F11" s="19">
        <v>138</v>
      </c>
      <c r="G11" s="5">
        <f t="shared" si="0"/>
        <v>40.321402483564647</v>
      </c>
      <c r="H11" s="4">
        <f t="shared" si="1"/>
        <v>72.834645669291348</v>
      </c>
      <c r="I11">
        <f t="shared" si="2"/>
        <v>6</v>
      </c>
      <c r="J11">
        <f t="shared" si="3"/>
        <v>0.8</v>
      </c>
      <c r="K11" t="str">
        <f t="shared" si="4"/>
        <v>6' 0.8"</v>
      </c>
      <c r="L11">
        <f t="shared" si="5"/>
        <v>304</v>
      </c>
    </row>
    <row r="12" spans="1:17" x14ac:dyDescent="0.35">
      <c r="A12" s="1" t="s">
        <v>93</v>
      </c>
      <c r="B12" s="1"/>
      <c r="C12" s="1" t="s">
        <v>42</v>
      </c>
      <c r="D12" s="1">
        <f>_xlfn.XLOOKUP(C12,'rank lookup'!$A$1:$A$21,'rank lookup'!$B$1:$B$21,,0)</f>
        <v>4</v>
      </c>
      <c r="E12" s="19">
        <v>187</v>
      </c>
      <c r="F12" s="19">
        <v>151</v>
      </c>
      <c r="G12" s="5">
        <f t="shared" si="0"/>
        <v>43.181103262889984</v>
      </c>
      <c r="H12" s="4">
        <f t="shared" si="1"/>
        <v>73.622047244094489</v>
      </c>
      <c r="I12">
        <f t="shared" si="2"/>
        <v>6</v>
      </c>
      <c r="J12">
        <f t="shared" si="3"/>
        <v>1.6</v>
      </c>
      <c r="K12" t="str">
        <f t="shared" si="4"/>
        <v>6' 1.6"</v>
      </c>
      <c r="L12">
        <f t="shared" si="5"/>
        <v>333</v>
      </c>
    </row>
    <row r="13" spans="1:17" x14ac:dyDescent="0.35">
      <c r="A13" s="1" t="s">
        <v>89</v>
      </c>
      <c r="B13" s="1">
        <v>1</v>
      </c>
      <c r="C13" s="1" t="s">
        <v>42</v>
      </c>
      <c r="D13" s="1">
        <f>_xlfn.XLOOKUP(C13,'rank lookup'!$A$1:$A$21,'rank lookup'!$B$1:$B$21,,0)</f>
        <v>4</v>
      </c>
      <c r="E13" s="19">
        <v>190</v>
      </c>
      <c r="F13" s="19">
        <v>212</v>
      </c>
      <c r="G13" s="5">
        <f t="shared" si="0"/>
        <v>58.725761772853183</v>
      </c>
      <c r="H13" s="4">
        <f t="shared" si="1"/>
        <v>74.803149606299215</v>
      </c>
      <c r="I13">
        <f t="shared" si="2"/>
        <v>6</v>
      </c>
      <c r="J13">
        <f t="shared" si="3"/>
        <v>2.8</v>
      </c>
      <c r="K13" t="str">
        <f t="shared" si="4"/>
        <v>6' 2.8"</v>
      </c>
      <c r="L13">
        <f t="shared" si="5"/>
        <v>467</v>
      </c>
    </row>
    <row r="14" spans="1:17" x14ac:dyDescent="0.35">
      <c r="A14" s="1" t="s">
        <v>133</v>
      </c>
      <c r="C14" t="s">
        <v>132</v>
      </c>
      <c r="D14" s="1">
        <f>_xlfn.XLOOKUP(C14,'rank lookup'!$A$1:$A$21,'rank lookup'!$B$1:$B$21,,0)</f>
        <v>5</v>
      </c>
      <c r="E14" s="19">
        <v>171</v>
      </c>
      <c r="F14" s="19">
        <v>114</v>
      </c>
      <c r="G14" s="5">
        <f t="shared" si="0"/>
        <v>38.98635477582846</v>
      </c>
      <c r="H14" s="4">
        <f t="shared" si="1"/>
        <v>67.322834645669289</v>
      </c>
      <c r="I14">
        <f t="shared" si="2"/>
        <v>5</v>
      </c>
      <c r="J14">
        <f t="shared" si="3"/>
        <v>7.3</v>
      </c>
      <c r="K14" t="str">
        <f t="shared" si="4"/>
        <v>5' 7.3"</v>
      </c>
      <c r="L14">
        <f t="shared" si="5"/>
        <v>251</v>
      </c>
    </row>
    <row r="15" spans="1:17" x14ac:dyDescent="0.35">
      <c r="A15" s="1" t="s">
        <v>124</v>
      </c>
      <c r="B15" s="1"/>
      <c r="C15" s="1" t="s">
        <v>132</v>
      </c>
      <c r="D15" s="1">
        <f>_xlfn.XLOOKUP(C15,'rank lookup'!$A$1:$A$21,'rank lookup'!$B$1:$B$21,,0)</f>
        <v>5</v>
      </c>
      <c r="E15" s="19">
        <v>174</v>
      </c>
      <c r="F15" s="19">
        <v>133</v>
      </c>
      <c r="G15" s="5">
        <f t="shared" si="0"/>
        <v>43.929184832870916</v>
      </c>
      <c r="H15" s="4">
        <f t="shared" si="1"/>
        <v>68.503937007874015</v>
      </c>
      <c r="I15">
        <f t="shared" si="2"/>
        <v>5</v>
      </c>
      <c r="J15">
        <f t="shared" si="3"/>
        <v>8.5</v>
      </c>
      <c r="K15" t="str">
        <f t="shared" si="4"/>
        <v>5' 8.5"</v>
      </c>
      <c r="L15">
        <f t="shared" si="5"/>
        <v>293</v>
      </c>
    </row>
    <row r="16" spans="1:17" x14ac:dyDescent="0.35">
      <c r="A16" s="1" t="s">
        <v>117</v>
      </c>
      <c r="B16" s="1"/>
      <c r="C16" s="1" t="s">
        <v>136</v>
      </c>
      <c r="D16" s="1">
        <f>_xlfn.XLOOKUP(C16,'rank lookup'!$A$1:$A$21,'rank lookup'!$B$1:$B$21,,0)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x14ac:dyDescent="0.35">
      <c r="A17" s="1" t="s">
        <v>94</v>
      </c>
      <c r="B17" s="1"/>
      <c r="C17" s="1" t="s">
        <v>136</v>
      </c>
      <c r="D17" s="1">
        <f>_xlfn.XLOOKUP(C17,'rank lookup'!$A$1:$A$21,'rank lookup'!$B$1:$B$21,,0)</f>
        <v>6</v>
      </c>
      <c r="E17" s="19">
        <v>189</v>
      </c>
      <c r="F17" s="19">
        <v>167</v>
      </c>
      <c r="G17" s="5">
        <f t="shared" si="0"/>
        <v>46.751210772374797</v>
      </c>
      <c r="H17" s="4">
        <f t="shared" si="1"/>
        <v>74.409448818897644</v>
      </c>
      <c r="I17">
        <f t="shared" si="2"/>
        <v>6</v>
      </c>
      <c r="J17">
        <f t="shared" si="3"/>
        <v>2.4</v>
      </c>
      <c r="K17" t="str">
        <f t="shared" si="4"/>
        <v>6' 2.4"</v>
      </c>
      <c r="L17">
        <f t="shared" si="5"/>
        <v>368</v>
      </c>
    </row>
    <row r="18" spans="1:12" x14ac:dyDescent="0.35">
      <c r="A18" s="1" t="s">
        <v>121</v>
      </c>
      <c r="B18" s="1"/>
      <c r="C18" s="1" t="s">
        <v>137</v>
      </c>
      <c r="D18" s="1">
        <f>_xlfn.XLOOKUP(C18,'rank lookup'!$A$1:$A$21,'rank lookup'!$B$1:$B$21,,0)</f>
        <v>7</v>
      </c>
      <c r="E18" s="19">
        <v>175</v>
      </c>
      <c r="F18" s="19">
        <v>151</v>
      </c>
      <c r="G18" s="5">
        <f t="shared" si="0"/>
        <v>49.306122448979593</v>
      </c>
      <c r="H18" s="4">
        <f t="shared" si="1"/>
        <v>68.897637795275585</v>
      </c>
      <c r="I18">
        <f t="shared" si="2"/>
        <v>5</v>
      </c>
      <c r="J18">
        <f t="shared" si="3"/>
        <v>8.9</v>
      </c>
      <c r="K18" t="str">
        <f t="shared" si="4"/>
        <v>5' 8.9"</v>
      </c>
      <c r="L18">
        <f t="shared" si="5"/>
        <v>333</v>
      </c>
    </row>
    <row r="19" spans="1:12" x14ac:dyDescent="0.35">
      <c r="A19" s="1" t="s">
        <v>92</v>
      </c>
      <c r="B19" s="1">
        <v>1</v>
      </c>
      <c r="C19" s="1" t="s">
        <v>137</v>
      </c>
      <c r="D19" s="1">
        <f>_xlfn.XLOOKUP(C19,'rank lookup'!$A$1:$A$21,'rank lookup'!$B$1:$B$21,,0)</f>
        <v>7</v>
      </c>
      <c r="E19" s="19">
        <v>189</v>
      </c>
      <c r="F19" s="19">
        <v>174</v>
      </c>
      <c r="G19" s="5">
        <f t="shared" si="0"/>
        <v>48.710842361636011</v>
      </c>
      <c r="H19" s="4">
        <f t="shared" si="1"/>
        <v>74.409448818897644</v>
      </c>
      <c r="I19">
        <f t="shared" si="2"/>
        <v>6</v>
      </c>
      <c r="J19">
        <f t="shared" si="3"/>
        <v>2.4</v>
      </c>
      <c r="K19" t="str">
        <f t="shared" si="4"/>
        <v>6' 2.4"</v>
      </c>
      <c r="L19">
        <f t="shared" si="5"/>
        <v>384</v>
      </c>
    </row>
    <row r="20" spans="1:12" x14ac:dyDescent="0.35">
      <c r="A20" s="1" t="s">
        <v>138</v>
      </c>
      <c r="C20" s="1" t="s">
        <v>139</v>
      </c>
      <c r="D20" s="1">
        <f>_xlfn.XLOOKUP(C20,'rank lookup'!$A$1:$A$21,'rank lookup'!$B$1:$B$21,,0)</f>
        <v>8</v>
      </c>
      <c r="E20" s="19">
        <v>184</v>
      </c>
      <c r="F20" s="19">
        <v>170</v>
      </c>
      <c r="G20" s="5">
        <f t="shared" si="0"/>
        <v>50.21266540642722</v>
      </c>
      <c r="H20" s="4">
        <f t="shared" si="1"/>
        <v>72.440944881889763</v>
      </c>
      <c r="I20">
        <f t="shared" si="2"/>
        <v>6</v>
      </c>
      <c r="J20">
        <f t="shared" si="3"/>
        <v>0.4</v>
      </c>
      <c r="K20" t="str">
        <f t="shared" si="4"/>
        <v>6' 0.4"</v>
      </c>
      <c r="L20">
        <f t="shared" si="5"/>
        <v>375</v>
      </c>
    </row>
    <row r="21" spans="1:12" x14ac:dyDescent="0.35">
      <c r="A21" s="1" t="s">
        <v>96</v>
      </c>
      <c r="B21" s="1"/>
      <c r="C21" s="1" t="s">
        <v>139</v>
      </c>
      <c r="D21" s="1">
        <f>_xlfn.XLOOKUP(C21,'rank lookup'!$A$1:$A$21,'rank lookup'!$B$1:$B$21,,0)</f>
        <v>8</v>
      </c>
      <c r="E21" s="19">
        <v>186</v>
      </c>
      <c r="F21" s="19">
        <v>182</v>
      </c>
      <c r="G21" s="5">
        <f t="shared" si="0"/>
        <v>52.607237830963122</v>
      </c>
      <c r="H21" s="4">
        <f t="shared" si="1"/>
        <v>73.228346456692918</v>
      </c>
      <c r="I21">
        <f t="shared" si="2"/>
        <v>6</v>
      </c>
      <c r="J21">
        <f t="shared" si="3"/>
        <v>1.2</v>
      </c>
      <c r="K21" t="str">
        <f t="shared" si="4"/>
        <v>6' 1.2"</v>
      </c>
      <c r="L21">
        <f t="shared" si="5"/>
        <v>401</v>
      </c>
    </row>
    <row r="22" spans="1:12" x14ac:dyDescent="0.35">
      <c r="A22" s="1" t="s">
        <v>111</v>
      </c>
      <c r="B22" s="1"/>
      <c r="C22" s="1" t="s">
        <v>140</v>
      </c>
      <c r="D22" s="1">
        <f>_xlfn.XLOOKUP(C22,'rank lookup'!$A$1:$A$21,'rank lookup'!$B$1:$B$21,,0)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x14ac:dyDescent="0.35">
      <c r="A23" s="1" t="s">
        <v>104</v>
      </c>
      <c r="B23" s="1"/>
      <c r="C23" s="1" t="s">
        <v>140</v>
      </c>
      <c r="D23" s="1">
        <f>_xlfn.XLOOKUP(C23,'rank lookup'!$A$1:$A$21,'rank lookup'!$B$1:$B$21,,0)</f>
        <v>9</v>
      </c>
      <c r="E23" s="19">
        <v>186</v>
      </c>
      <c r="F23" s="19">
        <v>166</v>
      </c>
      <c r="G23" s="5">
        <f t="shared" si="0"/>
        <v>47.982425713955372</v>
      </c>
      <c r="H23" s="4">
        <f t="shared" si="1"/>
        <v>73.228346456692918</v>
      </c>
      <c r="I23">
        <f t="shared" si="2"/>
        <v>6</v>
      </c>
      <c r="J23">
        <f t="shared" si="3"/>
        <v>1.2</v>
      </c>
      <c r="K23" t="str">
        <f t="shared" si="4"/>
        <v>6' 1.2"</v>
      </c>
      <c r="L23">
        <f t="shared" si="5"/>
        <v>366</v>
      </c>
    </row>
    <row r="24" spans="1:12" x14ac:dyDescent="0.35">
      <c r="A24" s="1" t="s">
        <v>99</v>
      </c>
      <c r="B24" s="1"/>
      <c r="C24" s="1" t="s">
        <v>141</v>
      </c>
      <c r="D24" s="1">
        <f>_xlfn.XLOOKUP(C24,'rank lookup'!$A$1:$A$21,'rank lookup'!$B$1:$B$21,,0)</f>
        <v>10</v>
      </c>
      <c r="E24" s="19">
        <v>183</v>
      </c>
      <c r="F24" s="19">
        <v>149</v>
      </c>
      <c r="G24" s="5">
        <f t="shared" si="0"/>
        <v>44.492221326405691</v>
      </c>
      <c r="H24" s="4">
        <f t="shared" si="1"/>
        <v>72.047244094488192</v>
      </c>
      <c r="I24">
        <f t="shared" si="2"/>
        <v>6</v>
      </c>
      <c r="J24">
        <f t="shared" si="3"/>
        <v>0</v>
      </c>
      <c r="K24" t="str">
        <f t="shared" si="4"/>
        <v>6' 0"</v>
      </c>
      <c r="L24">
        <f t="shared" si="5"/>
        <v>328</v>
      </c>
    </row>
    <row r="25" spans="1:12" x14ac:dyDescent="0.35">
      <c r="A25" s="1" t="s">
        <v>100</v>
      </c>
      <c r="B25" s="1"/>
      <c r="C25" s="1" t="s">
        <v>141</v>
      </c>
      <c r="D25" s="1">
        <f>_xlfn.XLOOKUP(C25,'rank lookup'!$A$1:$A$21,'rank lookup'!$B$1:$B$21,,0)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x14ac:dyDescent="0.35">
      <c r="A26" s="1" t="s">
        <v>120</v>
      </c>
      <c r="B26" s="1"/>
      <c r="C26" s="1" t="s">
        <v>135</v>
      </c>
      <c r="D26" s="1">
        <f>_xlfn.XLOOKUP(C26,'rank lookup'!$A$1:$A$21,'rank lookup'!$B$1:$B$21,,0)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x14ac:dyDescent="0.35">
      <c r="A27" s="1" t="s">
        <v>91</v>
      </c>
      <c r="B27" s="1"/>
      <c r="C27" s="1" t="s">
        <v>135</v>
      </c>
      <c r="D27" s="1">
        <f>_xlfn.XLOOKUP(C27,'rank lookup'!$A$1:$A$21,'rank lookup'!$B$1:$B$21,,0)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x14ac:dyDescent="0.35">
      <c r="A28" s="1" t="s">
        <v>103</v>
      </c>
      <c r="B28" s="1"/>
      <c r="C28" s="1" t="s">
        <v>142</v>
      </c>
      <c r="D28" s="1">
        <f>_xlfn.XLOOKUP(C28,'rank lookup'!$A$1:$A$21,'rank lookup'!$B$1:$B$21,,0)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x14ac:dyDescent="0.35">
      <c r="A29" s="1" t="s">
        <v>87</v>
      </c>
      <c r="B29" s="1">
        <v>1</v>
      </c>
      <c r="C29" s="1" t="s">
        <v>142</v>
      </c>
      <c r="D29" s="1">
        <f>_xlfn.XLOOKUP(C29,'rank lookup'!$A$1:$A$21,'rank lookup'!$B$1:$B$21,,0)</f>
        <v>12</v>
      </c>
      <c r="E29" s="19">
        <v>192</v>
      </c>
      <c r="F29" s="19">
        <v>179</v>
      </c>
      <c r="G29" s="5">
        <f t="shared" si="0"/>
        <v>48.556857638888893</v>
      </c>
      <c r="H29" s="4">
        <f t="shared" si="1"/>
        <v>75.59055118110237</v>
      </c>
      <c r="I29">
        <f t="shared" si="2"/>
        <v>6</v>
      </c>
      <c r="J29">
        <f t="shared" si="3"/>
        <v>3.6</v>
      </c>
      <c r="K29" t="str">
        <f t="shared" si="4"/>
        <v>6' 3.6"</v>
      </c>
      <c r="L29">
        <f t="shared" si="5"/>
        <v>395</v>
      </c>
    </row>
    <row r="30" spans="1:12" x14ac:dyDescent="0.35">
      <c r="A30" s="1" t="s">
        <v>122</v>
      </c>
      <c r="B30" s="1"/>
      <c r="C30" s="1" t="s">
        <v>143</v>
      </c>
      <c r="D30" s="1">
        <f>_xlfn.XLOOKUP(C30,'rank lookup'!$A$1:$A$21,'rank lookup'!$B$1:$B$21,,0)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x14ac:dyDescent="0.35">
      <c r="A31" s="1" t="s">
        <v>97</v>
      </c>
      <c r="B31" s="1"/>
      <c r="C31" s="1" t="s">
        <v>143</v>
      </c>
      <c r="D31" s="1">
        <f>_xlfn.XLOOKUP(C31,'rank lookup'!$A$1:$A$21,'rank lookup'!$B$1:$B$21,,0)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x14ac:dyDescent="0.35">
      <c r="A32" t="s">
        <v>144</v>
      </c>
      <c r="C32" s="1" t="s">
        <v>145</v>
      </c>
      <c r="D32" s="1">
        <f>_xlfn.XLOOKUP(C32,'rank lookup'!$A$1:$A$21,'rank lookup'!$B$1:$B$21,,0)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x14ac:dyDescent="0.35">
      <c r="A33" s="1" t="s">
        <v>101</v>
      </c>
      <c r="B33" s="1"/>
      <c r="C33" s="1" t="s">
        <v>145</v>
      </c>
      <c r="D33" s="1">
        <f>_xlfn.XLOOKUP(C33,'rank lookup'!$A$1:$A$21,'rank lookup'!$B$1:$B$21,,0)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x14ac:dyDescent="0.35">
      <c r="A34" s="1" t="s">
        <v>113</v>
      </c>
      <c r="B34" s="1"/>
      <c r="C34" s="1" t="s">
        <v>147</v>
      </c>
      <c r="D34" s="1">
        <f>_xlfn.XLOOKUP(C34,'rank lookup'!$A$1:$A$21,'rank lookup'!$B$1:$B$21,,0)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x14ac:dyDescent="0.35">
      <c r="A35" t="s">
        <v>146</v>
      </c>
      <c r="C35" s="1" t="s">
        <v>147</v>
      </c>
      <c r="D35" s="1">
        <f>_xlfn.XLOOKUP(C35,'rank lookup'!$A$1:$A$21,'rank lookup'!$B$1:$B$21,,0)</f>
        <v>15</v>
      </c>
      <c r="E35" s="19">
        <v>189</v>
      </c>
      <c r="F35" s="19">
        <v>158</v>
      </c>
      <c r="G35" s="5">
        <f t="shared" si="0"/>
        <v>44.23168444332466</v>
      </c>
      <c r="H35" s="4">
        <f t="shared" si="1"/>
        <v>74.409448818897644</v>
      </c>
      <c r="I35">
        <f t="shared" si="2"/>
        <v>6</v>
      </c>
      <c r="J35">
        <f t="shared" si="3"/>
        <v>2.4</v>
      </c>
      <c r="K35" t="str">
        <f t="shared" si="4"/>
        <v>6' 2.4"</v>
      </c>
      <c r="L35">
        <f t="shared" si="5"/>
        <v>348</v>
      </c>
    </row>
    <row r="36" spans="1:12" x14ac:dyDescent="0.35">
      <c r="A36" t="s">
        <v>149</v>
      </c>
      <c r="C36" s="1" t="s">
        <v>148</v>
      </c>
      <c r="D36" s="1">
        <f>_xlfn.XLOOKUP(C36,'rank lookup'!$A$1:$A$21,'rank lookup'!$B$1:$B$21,,0)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x14ac:dyDescent="0.35">
      <c r="A37" s="1" t="s">
        <v>90</v>
      </c>
      <c r="B37" s="1"/>
      <c r="C37" s="1" t="s">
        <v>148</v>
      </c>
      <c r="D37" s="1">
        <f>_xlfn.XLOOKUP(C37,'rank lookup'!$A$1:$A$21,'rank lookup'!$B$1:$B$21,,0)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x14ac:dyDescent="0.35">
      <c r="A38" s="1" t="s">
        <v>98</v>
      </c>
      <c r="B38" s="1"/>
      <c r="C38" s="1" t="s">
        <v>150</v>
      </c>
      <c r="D38" s="1">
        <f>_xlfn.XLOOKUP(C38,'rank lookup'!$A$1:$A$21,'rank lookup'!$B$1:$B$21,,0)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x14ac:dyDescent="0.35">
      <c r="A39" s="1" t="s">
        <v>88</v>
      </c>
      <c r="B39" s="1"/>
      <c r="C39" s="1" t="s">
        <v>150</v>
      </c>
      <c r="D39" s="1">
        <f>_xlfn.XLOOKUP(C39,'rank lookup'!$A$1:$A$21,'rank lookup'!$B$1:$B$21,,0)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x14ac:dyDescent="0.35">
      <c r="A40" s="1" t="s">
        <v>110</v>
      </c>
      <c r="B40" s="1"/>
      <c r="C40" s="1" t="s">
        <v>151</v>
      </c>
      <c r="D40" s="1">
        <f>_xlfn.XLOOKUP(C40,'rank lookup'!$A$1:$A$21,'rank lookup'!$B$1:$B$21,,0)</f>
        <v>18</v>
      </c>
      <c r="E40" s="19">
        <v>183</v>
      </c>
      <c r="F40" s="19">
        <v>135</v>
      </c>
      <c r="G40" s="5">
        <f t="shared" si="0"/>
        <v>40.311744154797097</v>
      </c>
      <c r="H40" s="4">
        <f t="shared" si="1"/>
        <v>72.047244094488192</v>
      </c>
      <c r="I40">
        <f t="shared" si="2"/>
        <v>6</v>
      </c>
      <c r="J40">
        <f t="shared" si="3"/>
        <v>0</v>
      </c>
      <c r="K40" t="str">
        <f t="shared" si="4"/>
        <v>6' 0"</v>
      </c>
      <c r="L40">
        <f t="shared" si="5"/>
        <v>298</v>
      </c>
    </row>
    <row r="41" spans="1:12" x14ac:dyDescent="0.35">
      <c r="A41" s="1" t="s">
        <v>107</v>
      </c>
      <c r="B41" s="1"/>
      <c r="C41" s="1" t="s">
        <v>151</v>
      </c>
      <c r="D41" s="1">
        <f>_xlfn.XLOOKUP(C41,'rank lookup'!$A$1:$A$21,'rank lookup'!$B$1:$B$21,,0)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x14ac:dyDescent="0.35">
      <c r="A42" s="1" t="s">
        <v>126</v>
      </c>
      <c r="B42" s="1"/>
      <c r="C42" s="1" t="s">
        <v>152</v>
      </c>
      <c r="D42" s="1">
        <f>_xlfn.XLOOKUP(C42,'rank lookup'!$A$1:$A$21,'rank lookup'!$B$1:$B$21,,0)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x14ac:dyDescent="0.35">
      <c r="A43" s="1" t="s">
        <v>108</v>
      </c>
      <c r="B43" s="1"/>
      <c r="C43" s="1" t="s">
        <v>152</v>
      </c>
      <c r="D43" s="1">
        <f>_xlfn.XLOOKUP(C43,'rank lookup'!$A$1:$A$21,'rank lookup'!$B$1:$B$21,,0)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x14ac:dyDescent="0.35">
      <c r="A44" t="s">
        <v>155</v>
      </c>
      <c r="C44" s="1" t="s">
        <v>154</v>
      </c>
      <c r="D44" s="1">
        <f>_xlfn.XLOOKUP(C44,'rank lookup'!$A$1:$A$21,'rank lookup'!$B$1:$B$21,,0)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x14ac:dyDescent="0.35">
      <c r="A45" t="s">
        <v>153</v>
      </c>
      <c r="C45" s="1" t="s">
        <v>154</v>
      </c>
      <c r="D45" s="1">
        <f>_xlfn.XLOOKUP(C45,'rank lookup'!$A$1:$A$21,'rank lookup'!$B$1:$B$21,,0)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AD93C-DC55-4D4D-B302-DCBC1ADAA0BE}">
  <dimension ref="A1:U57"/>
  <sheetViews>
    <sheetView zoomScaleNormal="100" workbookViewId="0">
      <pane xSplit="1" ySplit="3" topLeftCell="G32" activePane="bottomRight" state="frozen"/>
      <selection pane="topRight" activeCell="B1" sqref="B1"/>
      <selection pane="bottomLeft" activeCell="A4" sqref="A4"/>
      <selection pane="bottomRight" activeCell="G38" sqref="G38"/>
    </sheetView>
  </sheetViews>
  <sheetFormatPr defaultRowHeight="14.5" outlineLevelCol="1" x14ac:dyDescent="0.35"/>
  <cols>
    <col min="1" max="1" width="21.1796875" customWidth="1"/>
    <col min="2" max="6" width="21.1796875" hidden="1" customWidth="1" outlineLevel="1"/>
    <col min="7" max="7" width="21.1796875" customWidth="1" collapsed="1"/>
    <col min="8" max="10" width="21.1796875" customWidth="1"/>
    <col min="13" max="13" width="11.26953125" bestFit="1" customWidth="1"/>
    <col min="14" max="14" width="8.7265625" style="4"/>
    <col min="21" max="21" width="9.54296875" customWidth="1"/>
  </cols>
  <sheetData>
    <row r="1" spans="1:21" x14ac:dyDescent="0.35">
      <c r="C1" t="s">
        <v>174</v>
      </c>
      <c r="K1" t="s">
        <v>248</v>
      </c>
    </row>
    <row r="2" spans="1:21" x14ac:dyDescent="0.35">
      <c r="C2" s="17" t="s">
        <v>162</v>
      </c>
      <c r="D2" s="17"/>
      <c r="E2" s="17"/>
      <c r="F2" s="17"/>
      <c r="G2" s="17"/>
      <c r="H2" s="17"/>
      <c r="K2" s="17" t="s">
        <v>134</v>
      </c>
      <c r="S2">
        <f>MAX(S4:S45)</f>
        <v>41</v>
      </c>
      <c r="T2">
        <f>MAX(T4:T45)</f>
        <v>42</v>
      </c>
      <c r="U2">
        <f>MAX(U4:U45)</f>
        <v>42</v>
      </c>
    </row>
    <row r="3" spans="1:21" x14ac:dyDescent="0.35">
      <c r="A3" t="s">
        <v>3</v>
      </c>
      <c r="B3" t="s">
        <v>11</v>
      </c>
      <c r="C3" t="s">
        <v>131</v>
      </c>
      <c r="D3" t="s">
        <v>163</v>
      </c>
      <c r="E3" t="s">
        <v>175</v>
      </c>
      <c r="F3" t="s">
        <v>185</v>
      </c>
      <c r="G3" t="s">
        <v>230</v>
      </c>
      <c r="H3" t="s">
        <v>238</v>
      </c>
      <c r="I3" t="s">
        <v>177</v>
      </c>
      <c r="J3" t="s">
        <v>239</v>
      </c>
      <c r="K3" t="s">
        <v>5</v>
      </c>
      <c r="L3" t="s">
        <v>4</v>
      </c>
      <c r="M3" t="s">
        <v>26</v>
      </c>
      <c r="N3" s="4" t="s">
        <v>6</v>
      </c>
      <c r="O3" t="s">
        <v>7</v>
      </c>
      <c r="P3" t="s">
        <v>8</v>
      </c>
      <c r="Q3" t="s">
        <v>9</v>
      </c>
      <c r="R3" t="s">
        <v>10</v>
      </c>
      <c r="S3" t="s">
        <v>171</v>
      </c>
      <c r="T3" t="s">
        <v>172</v>
      </c>
      <c r="U3" t="s">
        <v>173</v>
      </c>
    </row>
    <row r="4" spans="1:21" x14ac:dyDescent="0.35">
      <c r="A4" s="1" t="s">
        <v>86</v>
      </c>
      <c r="B4" s="1">
        <v>8</v>
      </c>
      <c r="C4" s="1" t="s">
        <v>14</v>
      </c>
      <c r="D4" s="1" t="s">
        <v>14</v>
      </c>
      <c r="E4" s="1" t="s">
        <v>14</v>
      </c>
      <c r="F4" s="1" t="s">
        <v>14</v>
      </c>
      <c r="G4" s="1" t="s">
        <v>14</v>
      </c>
      <c r="H4" s="1" t="s">
        <v>14</v>
      </c>
      <c r="I4" s="1">
        <f>_xlfn.XLOOKUP(H4,'rank lookup'!$A$1:$A$21,'rank lookup'!$B$1:$B$21,,0)</f>
        <v>1</v>
      </c>
      <c r="J4" s="1"/>
      <c r="K4" s="26">
        <v>192</v>
      </c>
      <c r="L4" s="26">
        <v>174</v>
      </c>
      <c r="M4" s="5">
        <f>L4/(K4*K4)*10000</f>
        <v>47.200520833333329</v>
      </c>
      <c r="N4" s="4">
        <f>CONVERT(K4,"cm","in")</f>
        <v>75.59055118110237</v>
      </c>
      <c r="O4">
        <f>_xlfn.FLOOR.MATH(N4/12)</f>
        <v>6</v>
      </c>
      <c r="P4">
        <f>ROUND(N4-O4*12,1)</f>
        <v>3.6</v>
      </c>
      <c r="Q4" t="str">
        <f>O4&amp;"' "&amp;P4&amp;""""</f>
        <v>6' 3.6"</v>
      </c>
      <c r="R4">
        <f>ROUND(CONVERT(L4,"kg","lbm"),0)</f>
        <v>384</v>
      </c>
      <c r="S4">
        <f>_xlfn.RANK.EQ(K4,K$4:K$45)</f>
        <v>3</v>
      </c>
      <c r="T4">
        <f>_xlfn.RANK.EQ(L4,L$4:L$45)</f>
        <v>11</v>
      </c>
      <c r="U4">
        <f>_xlfn.RANK.EQ(M4,M$4:M$45)</f>
        <v>22</v>
      </c>
    </row>
    <row r="5" spans="1:21" x14ac:dyDescent="0.35">
      <c r="A5" s="1" t="s">
        <v>123</v>
      </c>
      <c r="B5" s="1">
        <v>2</v>
      </c>
      <c r="C5" s="1" t="s">
        <v>39</v>
      </c>
      <c r="D5" s="1" t="s">
        <v>39</v>
      </c>
      <c r="E5" s="1" t="s">
        <v>39</v>
      </c>
      <c r="F5" s="1" t="s">
        <v>39</v>
      </c>
      <c r="G5" s="1" t="s">
        <v>39</v>
      </c>
      <c r="H5" s="1" t="s">
        <v>39</v>
      </c>
      <c r="I5" s="1">
        <f>_xlfn.XLOOKUP(H5,'rank lookup'!$A$1:$A$21,'rank lookup'!$B$1:$B$21,,0)</f>
        <v>2</v>
      </c>
      <c r="J5" s="1"/>
      <c r="K5" s="26">
        <v>175</v>
      </c>
      <c r="L5" s="26">
        <v>165</v>
      </c>
      <c r="M5" s="5">
        <f>L5/(K5*K5)*10000</f>
        <v>53.877551020408163</v>
      </c>
      <c r="N5" s="4">
        <f>CONVERT(K5,"cm","in")</f>
        <v>68.897637795275585</v>
      </c>
      <c r="O5">
        <f>_xlfn.FLOOR.MATH(N5/12)</f>
        <v>5</v>
      </c>
      <c r="P5">
        <f>ROUND(N5-O5*12,1)</f>
        <v>8.9</v>
      </c>
      <c r="Q5" t="str">
        <f>O5&amp;"' "&amp;P5&amp;""""</f>
        <v>5' 8.9"</v>
      </c>
      <c r="R5">
        <f>ROUND(CONVERT(L5,"kg","lbm"),0)</f>
        <v>364</v>
      </c>
      <c r="S5">
        <f t="shared" ref="S5:U45" si="0">_xlfn.RANK.EQ(K5,K$4:K$45)</f>
        <v>38</v>
      </c>
      <c r="T5">
        <f t="shared" si="0"/>
        <v>18</v>
      </c>
      <c r="U5">
        <f t="shared" si="0"/>
        <v>4</v>
      </c>
    </row>
    <row r="6" spans="1:21" ht="25" x14ac:dyDescent="0.35">
      <c r="A6" s="1" t="s">
        <v>240</v>
      </c>
      <c r="B6" s="1"/>
      <c r="C6" s="1" t="s">
        <v>42</v>
      </c>
      <c r="D6" s="1" t="s">
        <v>42</v>
      </c>
      <c r="E6" s="1" t="s">
        <v>42</v>
      </c>
      <c r="F6" s="1" t="s">
        <v>31</v>
      </c>
      <c r="G6" s="1" t="s">
        <v>31</v>
      </c>
      <c r="H6" s="1" t="s">
        <v>39</v>
      </c>
      <c r="I6" s="1">
        <f>_xlfn.XLOOKUP(H6,'rank lookup'!$A$1:$A$21,'rank lookup'!$B$1:$B$21,,0)</f>
        <v>2</v>
      </c>
      <c r="J6" s="1" t="s">
        <v>241</v>
      </c>
      <c r="K6" s="26">
        <v>186</v>
      </c>
      <c r="L6" s="26">
        <v>143</v>
      </c>
      <c r="M6" s="5">
        <f>L6/(K6*K6)*10000</f>
        <v>41.334258295756733</v>
      </c>
      <c r="N6" s="4">
        <f>CONVERT(K6,"cm","in")</f>
        <v>73.228346456692918</v>
      </c>
      <c r="O6">
        <f>_xlfn.FLOOR.MATH(N6/12)</f>
        <v>6</v>
      </c>
      <c r="P6">
        <f>ROUND(N6-O6*12,1)</f>
        <v>1.2</v>
      </c>
      <c r="Q6" t="str">
        <f>O6&amp;"' "&amp;P6&amp;""""</f>
        <v>6' 1.2"</v>
      </c>
      <c r="R6">
        <f>ROUND(CONVERT(L6,"kg","lbm"),0)</f>
        <v>315</v>
      </c>
      <c r="S6">
        <f t="shared" si="0"/>
        <v>16</v>
      </c>
      <c r="T6">
        <f t="shared" si="0"/>
        <v>33</v>
      </c>
      <c r="U6">
        <f t="shared" si="0"/>
        <v>38</v>
      </c>
    </row>
    <row r="7" spans="1:21" x14ac:dyDescent="0.35">
      <c r="A7" s="1" t="s">
        <v>95</v>
      </c>
      <c r="B7" s="1"/>
      <c r="C7" s="1" t="s">
        <v>31</v>
      </c>
      <c r="D7" s="1" t="s">
        <v>31</v>
      </c>
      <c r="E7" s="1" t="s">
        <v>31</v>
      </c>
      <c r="F7" s="1" t="s">
        <v>31</v>
      </c>
      <c r="G7" s="1" t="s">
        <v>31</v>
      </c>
      <c r="H7" s="1" t="s">
        <v>31</v>
      </c>
      <c r="I7" s="1">
        <f>_xlfn.XLOOKUP(H7,'rank lookup'!$A$1:$A$21,'rank lookup'!$B$1:$B$21,,0)</f>
        <v>3</v>
      </c>
      <c r="J7" s="1"/>
      <c r="K7" s="26">
        <v>188</v>
      </c>
      <c r="L7" s="26">
        <v>142</v>
      </c>
      <c r="M7" s="5">
        <f>L7/(K7*K7)*10000</f>
        <v>40.176550475328199</v>
      </c>
      <c r="N7" s="4">
        <f>CONVERT(K7,"cm","in")</f>
        <v>74.015748031496059</v>
      </c>
      <c r="O7">
        <f>_xlfn.FLOOR.MATH(N7/12)</f>
        <v>6</v>
      </c>
      <c r="P7">
        <f>ROUND(N7-O7*12,1)</f>
        <v>2</v>
      </c>
      <c r="Q7" t="str">
        <f>O7&amp;"' "&amp;P7&amp;""""</f>
        <v>6' 2"</v>
      </c>
      <c r="R7">
        <f>ROUND(CONVERT(L7,"kg","lbm"),0)</f>
        <v>313</v>
      </c>
      <c r="S7">
        <f t="shared" si="0"/>
        <v>11</v>
      </c>
      <c r="T7">
        <f t="shared" si="0"/>
        <v>35</v>
      </c>
      <c r="U7">
        <f t="shared" si="0"/>
        <v>40</v>
      </c>
    </row>
    <row r="8" spans="1:21" x14ac:dyDescent="0.35">
      <c r="A8" s="1" t="s">
        <v>100</v>
      </c>
      <c r="B8" s="1"/>
      <c r="C8" s="1" t="s">
        <v>141</v>
      </c>
      <c r="D8" s="1" t="s">
        <v>139</v>
      </c>
      <c r="E8" s="1" t="s">
        <v>42</v>
      </c>
      <c r="F8" s="1" t="s">
        <v>42</v>
      </c>
      <c r="G8" s="1" t="s">
        <v>31</v>
      </c>
      <c r="H8" s="1" t="s">
        <v>31</v>
      </c>
      <c r="I8" s="1">
        <f>_xlfn.XLOOKUP(H8,'rank lookup'!$A$1:$A$21,'rank lookup'!$B$1:$B$21,,0)</f>
        <v>3</v>
      </c>
      <c r="J8" s="1"/>
      <c r="K8" s="26">
        <v>187</v>
      </c>
      <c r="L8" s="26">
        <v>147</v>
      </c>
      <c r="M8" s="5">
        <f>L8/(K8*K8)*10000</f>
        <v>42.03723297778032</v>
      </c>
      <c r="N8" s="4">
        <f>CONVERT(K8,"cm","in")</f>
        <v>73.622047244094489</v>
      </c>
      <c r="O8">
        <f>_xlfn.FLOOR.MATH(N8/12)</f>
        <v>6</v>
      </c>
      <c r="P8">
        <f>ROUND(N8-O8*12,1)</f>
        <v>1.6</v>
      </c>
      <c r="Q8" t="str">
        <f>O8&amp;"' "&amp;P8&amp;""""</f>
        <v>6' 1.6"</v>
      </c>
      <c r="R8">
        <f>ROUND(CONVERT(L8,"kg","lbm"),0)</f>
        <v>324</v>
      </c>
      <c r="S8">
        <f t="shared" si="0"/>
        <v>15</v>
      </c>
      <c r="T8">
        <f t="shared" si="0"/>
        <v>32</v>
      </c>
      <c r="U8">
        <f t="shared" si="0"/>
        <v>37</v>
      </c>
    </row>
    <row r="9" spans="1:21" x14ac:dyDescent="0.35">
      <c r="A9" s="1" t="s">
        <v>112</v>
      </c>
      <c r="B9" s="1">
        <v>1</v>
      </c>
      <c r="C9" s="1" t="s">
        <v>31</v>
      </c>
      <c r="D9" s="1" t="s">
        <v>42</v>
      </c>
      <c r="E9" s="1" t="s">
        <v>132</v>
      </c>
      <c r="F9" s="1" t="s">
        <v>42</v>
      </c>
      <c r="G9" s="1" t="s">
        <v>31</v>
      </c>
      <c r="H9" s="1" t="s">
        <v>31</v>
      </c>
      <c r="I9" s="1">
        <f>_xlfn.XLOOKUP(H9,'rank lookup'!$A$1:$A$21,'rank lookup'!$B$1:$B$21,,0)</f>
        <v>3</v>
      </c>
      <c r="J9" s="1"/>
      <c r="K9" s="26">
        <v>182</v>
      </c>
      <c r="L9" s="26">
        <v>164</v>
      </c>
      <c r="M9" s="5">
        <f>L9/(K9*K9)*10000</f>
        <v>49.510928631807751</v>
      </c>
      <c r="N9" s="4">
        <f>CONVERT(K9,"cm","in")</f>
        <v>71.653543307086608</v>
      </c>
      <c r="O9">
        <f>_xlfn.FLOOR.MATH(N9/12)</f>
        <v>5</v>
      </c>
      <c r="P9">
        <f>ROUND(N9-O9*12,1)</f>
        <v>11.7</v>
      </c>
      <c r="Q9" t="str">
        <f>O9&amp;"' "&amp;P9&amp;""""</f>
        <v>5' 11.7"</v>
      </c>
      <c r="R9">
        <f>ROUND(CONVERT(L9,"kg","lbm"),0)</f>
        <v>362</v>
      </c>
      <c r="S9">
        <f t="shared" si="0"/>
        <v>28</v>
      </c>
      <c r="T9">
        <f t="shared" si="0"/>
        <v>20</v>
      </c>
      <c r="U9">
        <f t="shared" si="0"/>
        <v>13</v>
      </c>
    </row>
    <row r="10" spans="1:21" x14ac:dyDescent="0.35">
      <c r="A10" s="1" t="s">
        <v>94</v>
      </c>
      <c r="B10" s="1"/>
      <c r="C10" s="1" t="s">
        <v>136</v>
      </c>
      <c r="D10" s="1" t="s">
        <v>132</v>
      </c>
      <c r="E10" s="1" t="s">
        <v>42</v>
      </c>
      <c r="F10" s="1" t="s">
        <v>42</v>
      </c>
      <c r="G10" s="1" t="s">
        <v>42</v>
      </c>
      <c r="H10" s="1" t="s">
        <v>42</v>
      </c>
      <c r="I10" s="1">
        <f>_xlfn.XLOOKUP(H10,'rank lookup'!$A$1:$A$21,'rank lookup'!$B$1:$B$21,,0)</f>
        <v>4</v>
      </c>
      <c r="J10" s="1"/>
      <c r="K10" s="26">
        <v>189</v>
      </c>
      <c r="L10" s="26">
        <v>176</v>
      </c>
      <c r="M10" s="5">
        <f>L10/(K10*K10)*10000</f>
        <v>49.270737101424935</v>
      </c>
      <c r="N10" s="4">
        <f>CONVERT(K10,"cm","in")</f>
        <v>74.409448818897644</v>
      </c>
      <c r="O10">
        <f>_xlfn.FLOOR.MATH(N10/12)</f>
        <v>6</v>
      </c>
      <c r="P10">
        <f>ROUND(N10-O10*12,1)</f>
        <v>2.4</v>
      </c>
      <c r="Q10" t="str">
        <f>O10&amp;"' "&amp;P10&amp;""""</f>
        <v>6' 2.4"</v>
      </c>
      <c r="R10">
        <f>ROUND(CONVERT(L10,"kg","lbm"),0)</f>
        <v>388</v>
      </c>
      <c r="S10">
        <f t="shared" si="0"/>
        <v>8</v>
      </c>
      <c r="T10">
        <f t="shared" si="0"/>
        <v>10</v>
      </c>
      <c r="U10">
        <f t="shared" si="0"/>
        <v>16</v>
      </c>
    </row>
    <row r="11" spans="1:21" x14ac:dyDescent="0.35">
      <c r="A11" s="1" t="s">
        <v>93</v>
      </c>
      <c r="B11" s="1">
        <v>1</v>
      </c>
      <c r="C11" s="1" t="s">
        <v>42</v>
      </c>
      <c r="D11" s="1" t="s">
        <v>143</v>
      </c>
      <c r="E11" s="1" t="s">
        <v>137</v>
      </c>
      <c r="F11" s="1" t="s">
        <v>136</v>
      </c>
      <c r="G11" s="1" t="s">
        <v>132</v>
      </c>
      <c r="H11" s="1" t="s">
        <v>42</v>
      </c>
      <c r="I11" s="1">
        <f>_xlfn.XLOOKUP(H11,'rank lookup'!$A$1:$A$21,'rank lookup'!$B$1:$B$21,,0)</f>
        <v>4</v>
      </c>
      <c r="J11" s="1"/>
      <c r="K11" s="26">
        <v>186</v>
      </c>
      <c r="L11" s="26">
        <v>158</v>
      </c>
      <c r="M11" s="5">
        <f>L11/(K11*K11)*10000</f>
        <v>45.670019655451505</v>
      </c>
      <c r="N11" s="4">
        <f>CONVERT(K11,"cm","in")</f>
        <v>73.228346456692918</v>
      </c>
      <c r="O11">
        <f>_xlfn.FLOOR.MATH(N11/12)</f>
        <v>6</v>
      </c>
      <c r="P11">
        <f>ROUND(N11-O11*12,1)</f>
        <v>1.2</v>
      </c>
      <c r="Q11" t="str">
        <f>O11&amp;"' "&amp;P11&amp;""""</f>
        <v>6' 1.2"</v>
      </c>
      <c r="R11">
        <f>ROUND(CONVERT(L11,"kg","lbm"),0)</f>
        <v>348</v>
      </c>
      <c r="S11">
        <f t="shared" si="0"/>
        <v>16</v>
      </c>
      <c r="T11">
        <f t="shared" si="0"/>
        <v>24</v>
      </c>
      <c r="U11">
        <f t="shared" si="0"/>
        <v>26</v>
      </c>
    </row>
    <row r="12" spans="1:21" x14ac:dyDescent="0.35">
      <c r="A12" s="1" t="s">
        <v>124</v>
      </c>
      <c r="B12" s="1"/>
      <c r="C12" s="1" t="s">
        <v>132</v>
      </c>
      <c r="D12" s="1" t="s">
        <v>42</v>
      </c>
      <c r="E12" s="1" t="s">
        <v>132</v>
      </c>
      <c r="F12" s="1" t="s">
        <v>42</v>
      </c>
      <c r="G12" s="1" t="s">
        <v>137</v>
      </c>
      <c r="H12" s="1" t="s">
        <v>132</v>
      </c>
      <c r="I12" s="1">
        <f>_xlfn.XLOOKUP(H12,'rank lookup'!$A$1:$A$21,'rank lookup'!$B$1:$B$21,,0)</f>
        <v>5</v>
      </c>
      <c r="J12" s="1"/>
      <c r="K12" s="26">
        <v>174</v>
      </c>
      <c r="L12" s="26">
        <v>135</v>
      </c>
      <c r="M12" s="5">
        <f>L12/(K12*K12)*10000</f>
        <v>44.589774078478001</v>
      </c>
      <c r="N12" s="4">
        <f>CONVERT(K12,"cm","in")</f>
        <v>68.503937007874015</v>
      </c>
      <c r="O12">
        <f>_xlfn.FLOOR.MATH(N12/12)</f>
        <v>5</v>
      </c>
      <c r="P12">
        <f>ROUND(N12-O12*12,1)</f>
        <v>8.5</v>
      </c>
      <c r="Q12" t="str">
        <f>O12&amp;"' "&amp;P12&amp;""""</f>
        <v>5' 8.5"</v>
      </c>
      <c r="R12">
        <f>ROUND(CONVERT(L12,"kg","lbm"),0)</f>
        <v>298</v>
      </c>
      <c r="S12">
        <f t="shared" si="0"/>
        <v>40</v>
      </c>
      <c r="T12">
        <f t="shared" si="0"/>
        <v>38</v>
      </c>
      <c r="U12">
        <f t="shared" si="0"/>
        <v>27</v>
      </c>
    </row>
    <row r="13" spans="1:21" x14ac:dyDescent="0.35">
      <c r="A13" s="1" t="s">
        <v>138</v>
      </c>
      <c r="C13" s="1" t="s">
        <v>139</v>
      </c>
      <c r="D13" s="1" t="s">
        <v>141</v>
      </c>
      <c r="E13" s="1" t="s">
        <v>140</v>
      </c>
      <c r="F13" s="1" t="s">
        <v>137</v>
      </c>
      <c r="G13" s="1" t="s">
        <v>139</v>
      </c>
      <c r="H13" s="1" t="s">
        <v>132</v>
      </c>
      <c r="I13" s="1">
        <f>_xlfn.XLOOKUP(H13,'rank lookup'!$A$1:$A$21,'rank lookup'!$B$1:$B$21,,0)</f>
        <v>5</v>
      </c>
      <c r="J13" s="1"/>
      <c r="K13" s="26">
        <v>185</v>
      </c>
      <c r="L13" s="26">
        <v>180</v>
      </c>
      <c r="M13" s="5">
        <f>L13/(K13*K13)*10000</f>
        <v>52.593133674214762</v>
      </c>
      <c r="N13" s="4">
        <f>CONVERT(K13,"cm","in")</f>
        <v>72.834645669291348</v>
      </c>
      <c r="O13">
        <f>_xlfn.FLOOR.MATH(N13/12)</f>
        <v>6</v>
      </c>
      <c r="P13">
        <f>ROUND(N13-O13*12,1)</f>
        <v>0.8</v>
      </c>
      <c r="Q13" t="str">
        <f>O13&amp;"' "&amp;P13&amp;""""</f>
        <v>6' 0.8"</v>
      </c>
      <c r="R13">
        <f>ROUND(CONVERT(L13,"kg","lbm"),0)</f>
        <v>397</v>
      </c>
      <c r="S13">
        <f t="shared" si="0"/>
        <v>19</v>
      </c>
      <c r="T13">
        <f t="shared" si="0"/>
        <v>8</v>
      </c>
      <c r="U13">
        <f t="shared" si="0"/>
        <v>7</v>
      </c>
    </row>
    <row r="14" spans="1:21" x14ac:dyDescent="0.35">
      <c r="A14" s="1" t="s">
        <v>109</v>
      </c>
      <c r="B14" s="1">
        <v>1</v>
      </c>
      <c r="C14" s="1" t="s">
        <v>39</v>
      </c>
      <c r="D14" s="1" t="s">
        <v>39</v>
      </c>
      <c r="E14" s="1" t="s">
        <v>31</v>
      </c>
      <c r="F14" s="1" t="s">
        <v>132</v>
      </c>
      <c r="G14" s="1" t="s">
        <v>42</v>
      </c>
      <c r="H14" s="1" t="s">
        <v>136</v>
      </c>
      <c r="I14" s="1">
        <f>_xlfn.XLOOKUP(H14,'rank lookup'!$A$1:$A$21,'rank lookup'!$B$1:$B$21,,0)</f>
        <v>6</v>
      </c>
      <c r="J14" s="1"/>
      <c r="K14" s="26">
        <v>184</v>
      </c>
      <c r="L14" s="26">
        <v>161</v>
      </c>
      <c r="M14" s="5">
        <f>L14/(K14*K14)*10000</f>
        <v>47.554347826086961</v>
      </c>
      <c r="N14" s="4">
        <f>CONVERT(K14,"cm","in")</f>
        <v>72.440944881889763</v>
      </c>
      <c r="O14">
        <f>_xlfn.FLOOR.MATH(N14/12)</f>
        <v>6</v>
      </c>
      <c r="P14">
        <f>ROUND(N14-O14*12,1)</f>
        <v>0.4</v>
      </c>
      <c r="Q14" t="str">
        <f>O14&amp;"' "&amp;P14&amp;""""</f>
        <v>6' 0.4"</v>
      </c>
      <c r="R14">
        <f>ROUND(CONVERT(L14,"kg","lbm"),0)</f>
        <v>355</v>
      </c>
      <c r="S14">
        <f t="shared" si="0"/>
        <v>22</v>
      </c>
      <c r="T14">
        <f t="shared" si="0"/>
        <v>22</v>
      </c>
      <c r="U14">
        <f t="shared" si="0"/>
        <v>20</v>
      </c>
    </row>
    <row r="15" spans="1:21" x14ac:dyDescent="0.35">
      <c r="A15" s="1" t="s">
        <v>116</v>
      </c>
      <c r="B15" s="1">
        <v>2</v>
      </c>
      <c r="C15" s="1" t="s">
        <v>39</v>
      </c>
      <c r="D15" s="1" t="s">
        <v>31</v>
      </c>
      <c r="E15" s="1" t="s">
        <v>136</v>
      </c>
      <c r="F15" s="1" t="s">
        <v>137</v>
      </c>
      <c r="G15" s="1" t="s">
        <v>141</v>
      </c>
      <c r="H15" s="1" t="s">
        <v>136</v>
      </c>
      <c r="I15" s="1">
        <f>_xlfn.XLOOKUP(H15,'rank lookup'!$A$1:$A$21,'rank lookup'!$B$1:$B$21,,0)</f>
        <v>6</v>
      </c>
      <c r="J15" s="1"/>
      <c r="K15" s="26">
        <v>179</v>
      </c>
      <c r="L15" s="26">
        <v>170</v>
      </c>
      <c r="M15" s="5">
        <f>L15/(K15*K15)*10000</f>
        <v>53.057020692238069</v>
      </c>
      <c r="N15" s="4">
        <f>CONVERT(K15,"cm","in")</f>
        <v>70.472440944881896</v>
      </c>
      <c r="O15">
        <f>_xlfn.FLOOR.MATH(N15/12)</f>
        <v>5</v>
      </c>
      <c r="P15">
        <f>ROUND(N15-O15*12,1)</f>
        <v>10.5</v>
      </c>
      <c r="Q15" t="str">
        <f>O15&amp;"' "&amp;P15&amp;""""</f>
        <v>5' 10.5"</v>
      </c>
      <c r="R15">
        <f>ROUND(CONVERT(L15,"kg","lbm"),0)</f>
        <v>375</v>
      </c>
      <c r="S15">
        <f t="shared" si="0"/>
        <v>33</v>
      </c>
      <c r="T15">
        <f t="shared" si="0"/>
        <v>15</v>
      </c>
      <c r="U15">
        <f t="shared" si="0"/>
        <v>5</v>
      </c>
    </row>
    <row r="16" spans="1:21" x14ac:dyDescent="0.35">
      <c r="A16" s="1" t="s">
        <v>133</v>
      </c>
      <c r="C16" t="s">
        <v>132</v>
      </c>
      <c r="D16" s="1" t="s">
        <v>137</v>
      </c>
      <c r="E16" s="1" t="s">
        <v>137</v>
      </c>
      <c r="F16" s="1" t="s">
        <v>140</v>
      </c>
      <c r="G16" s="1" t="s">
        <v>132</v>
      </c>
      <c r="H16" s="1" t="s">
        <v>137</v>
      </c>
      <c r="I16" s="1">
        <f>_xlfn.XLOOKUP(H16,'rank lookup'!$A$1:$A$21,'rank lookup'!$B$1:$B$21,,0)</f>
        <v>7</v>
      </c>
      <c r="J16" s="1"/>
      <c r="K16" s="23">
        <v>171</v>
      </c>
      <c r="L16" s="23">
        <v>116</v>
      </c>
      <c r="M16" s="5">
        <f>L16/(K16*K16)*10000</f>
        <v>39.670325912246504</v>
      </c>
      <c r="N16" s="4">
        <f>CONVERT(K16,"cm","in")</f>
        <v>67.322834645669289</v>
      </c>
      <c r="O16">
        <f>_xlfn.FLOOR.MATH(N16/12)</f>
        <v>5</v>
      </c>
      <c r="P16">
        <f>ROUND(N16-O16*12,1)</f>
        <v>7.3</v>
      </c>
      <c r="Q16" t="str">
        <f>O16&amp;"' "&amp;P16&amp;""""</f>
        <v>5' 7.3"</v>
      </c>
      <c r="R16">
        <f>ROUND(CONVERT(L16,"kg","lbm"),0)</f>
        <v>256</v>
      </c>
      <c r="S16">
        <f t="shared" si="0"/>
        <v>41</v>
      </c>
      <c r="T16">
        <f t="shared" si="0"/>
        <v>42</v>
      </c>
      <c r="U16">
        <f t="shared" si="0"/>
        <v>42</v>
      </c>
    </row>
    <row r="17" spans="1:21" x14ac:dyDescent="0.35">
      <c r="A17" s="1" t="s">
        <v>117</v>
      </c>
      <c r="B17" s="1"/>
      <c r="C17" s="1" t="s">
        <v>136</v>
      </c>
      <c r="D17" s="1" t="s">
        <v>136</v>
      </c>
      <c r="E17" s="1" t="s">
        <v>42</v>
      </c>
      <c r="F17" s="1" t="s">
        <v>139</v>
      </c>
      <c r="G17" s="1" t="s">
        <v>141</v>
      </c>
      <c r="H17" s="1" t="s">
        <v>137</v>
      </c>
      <c r="I17" s="1">
        <f>_xlfn.XLOOKUP(H17,'rank lookup'!$A$1:$A$21,'rank lookup'!$B$1:$B$21,,0)</f>
        <v>7</v>
      </c>
      <c r="J17" s="1"/>
      <c r="K17" s="23">
        <v>180</v>
      </c>
      <c r="L17" s="23">
        <v>154</v>
      </c>
      <c r="M17" s="5">
        <f>L17/(K17*K17)*10000</f>
        <v>47.530864197530867</v>
      </c>
      <c r="N17" s="4">
        <f>CONVERT(K17,"cm","in")</f>
        <v>70.866141732283467</v>
      </c>
      <c r="O17">
        <f>_xlfn.FLOOR.MATH(N17/12)</f>
        <v>5</v>
      </c>
      <c r="P17">
        <f>ROUND(N17-O17*12,1)</f>
        <v>10.9</v>
      </c>
      <c r="Q17" t="str">
        <f>O17&amp;"' "&amp;P17&amp;""""</f>
        <v>5' 10.9"</v>
      </c>
      <c r="R17">
        <f>ROUND(CONVERT(L17,"kg","lbm"),0)</f>
        <v>340</v>
      </c>
      <c r="S17">
        <f t="shared" si="0"/>
        <v>32</v>
      </c>
      <c r="T17">
        <f t="shared" si="0"/>
        <v>28</v>
      </c>
      <c r="U17">
        <f t="shared" si="0"/>
        <v>21</v>
      </c>
    </row>
    <row r="18" spans="1:21" x14ac:dyDescent="0.35">
      <c r="A18" s="1" t="s">
        <v>121</v>
      </c>
      <c r="B18" s="1"/>
      <c r="C18" s="1" t="s">
        <v>137</v>
      </c>
      <c r="D18" s="1" t="s">
        <v>137</v>
      </c>
      <c r="E18" s="1" t="s">
        <v>135</v>
      </c>
      <c r="F18" s="1" t="s">
        <v>142</v>
      </c>
      <c r="G18" s="1" t="s">
        <v>139</v>
      </c>
      <c r="H18" s="1" t="s">
        <v>139</v>
      </c>
      <c r="I18" s="1">
        <f>_xlfn.XLOOKUP(H18,'rank lookup'!$A$1:$A$21,'rank lookup'!$B$1:$B$21,,0)</f>
        <v>8</v>
      </c>
      <c r="J18" s="1"/>
      <c r="K18" s="23">
        <v>175</v>
      </c>
      <c r="L18" s="23">
        <v>143</v>
      </c>
      <c r="M18" s="5">
        <f>L18/(K18*K18)*10000</f>
        <v>46.693877551020407</v>
      </c>
      <c r="N18" s="4">
        <f>CONVERT(K18,"cm","in")</f>
        <v>68.897637795275585</v>
      </c>
      <c r="O18">
        <f>_xlfn.FLOOR.MATH(N18/12)</f>
        <v>5</v>
      </c>
      <c r="P18">
        <f>ROUND(N18-O18*12,1)</f>
        <v>8.9</v>
      </c>
      <c r="Q18" t="str">
        <f>O18&amp;"' "&amp;P18&amp;""""</f>
        <v>5' 8.9"</v>
      </c>
      <c r="R18">
        <f>ROUND(CONVERT(L18,"kg","lbm"),0)</f>
        <v>315</v>
      </c>
      <c r="S18">
        <f t="shared" si="0"/>
        <v>38</v>
      </c>
      <c r="T18">
        <f t="shared" si="0"/>
        <v>33</v>
      </c>
      <c r="U18">
        <f t="shared" si="0"/>
        <v>24</v>
      </c>
    </row>
    <row r="19" spans="1:21" x14ac:dyDescent="0.35">
      <c r="A19" s="1" t="s">
        <v>231</v>
      </c>
      <c r="G19" t="s">
        <v>151</v>
      </c>
      <c r="H19" t="s">
        <v>139</v>
      </c>
      <c r="I19" s="1">
        <f>_xlfn.XLOOKUP(H19,'rank lookup'!$A$1:$A$21,'rank lookup'!$B$1:$B$21,,0)</f>
        <v>8</v>
      </c>
      <c r="K19" s="23">
        <v>189</v>
      </c>
      <c r="L19" s="23">
        <v>168</v>
      </c>
      <c r="M19" s="5">
        <f>L19/(K19*K19)*10000</f>
        <v>47.031158142269256</v>
      </c>
      <c r="N19" s="4">
        <f>CONVERT(K19,"cm","in")</f>
        <v>74.409448818897644</v>
      </c>
      <c r="O19">
        <f>_xlfn.FLOOR.MATH(N19/12)</f>
        <v>6</v>
      </c>
      <c r="P19">
        <f>ROUND(N19-O19*12,1)</f>
        <v>2.4</v>
      </c>
      <c r="Q19" t="str">
        <f>O19&amp;"' "&amp;P19&amp;""""</f>
        <v>6' 2.4"</v>
      </c>
      <c r="R19">
        <f>ROUND(CONVERT(L19,"kg","lbm"),0)</f>
        <v>370</v>
      </c>
      <c r="S19">
        <f t="shared" si="0"/>
        <v>8</v>
      </c>
      <c r="T19">
        <f t="shared" si="0"/>
        <v>17</v>
      </c>
      <c r="U19">
        <f t="shared" si="0"/>
        <v>23</v>
      </c>
    </row>
    <row r="20" spans="1:21" x14ac:dyDescent="0.35">
      <c r="A20" s="1" t="s">
        <v>120</v>
      </c>
      <c r="B20" s="1"/>
      <c r="C20" s="1" t="s">
        <v>135</v>
      </c>
      <c r="D20" s="1" t="s">
        <v>147</v>
      </c>
      <c r="E20" s="1" t="s">
        <v>142</v>
      </c>
      <c r="F20" s="1" t="s">
        <v>139</v>
      </c>
      <c r="G20" s="1" t="s">
        <v>143</v>
      </c>
      <c r="H20" s="1" t="s">
        <v>140</v>
      </c>
      <c r="I20" s="1">
        <f>_xlfn.XLOOKUP(H20,'rank lookup'!$A$1:$A$21,'rank lookup'!$B$1:$B$21,,0)</f>
        <v>9</v>
      </c>
      <c r="J20" s="1"/>
      <c r="K20" s="23">
        <v>177</v>
      </c>
      <c r="L20" s="23">
        <v>165</v>
      </c>
      <c r="M20" s="5">
        <f>L20/(K20*K20)*10000</f>
        <v>52.666858182514609</v>
      </c>
      <c r="N20" s="4">
        <f>CONVERT(K20,"cm","in")</f>
        <v>69.685039370078741</v>
      </c>
      <c r="O20">
        <f>_xlfn.FLOOR.MATH(N20/12)</f>
        <v>5</v>
      </c>
      <c r="P20">
        <f>ROUND(N20-O20*12,1)</f>
        <v>9.6999999999999993</v>
      </c>
      <c r="Q20" t="str">
        <f>O20&amp;"' "&amp;P20&amp;""""</f>
        <v>5' 9.7"</v>
      </c>
      <c r="R20">
        <f>ROUND(CONVERT(L20,"kg","lbm"),0)</f>
        <v>364</v>
      </c>
      <c r="S20">
        <f t="shared" si="0"/>
        <v>34</v>
      </c>
      <c r="T20">
        <f t="shared" si="0"/>
        <v>18</v>
      </c>
      <c r="U20">
        <f t="shared" si="0"/>
        <v>6</v>
      </c>
    </row>
    <row r="21" spans="1:21" x14ac:dyDescent="0.35">
      <c r="A21" t="s">
        <v>155</v>
      </c>
      <c r="C21" s="1" t="s">
        <v>154</v>
      </c>
      <c r="D21" s="1" t="s">
        <v>154</v>
      </c>
      <c r="E21" s="1" t="s">
        <v>145</v>
      </c>
      <c r="F21" s="1" t="s">
        <v>143</v>
      </c>
      <c r="G21" s="1" t="s">
        <v>143</v>
      </c>
      <c r="H21" s="1" t="s">
        <v>140</v>
      </c>
      <c r="I21" s="1">
        <f>_xlfn.XLOOKUP(H21,'rank lookup'!$A$1:$A$21,'rank lookup'!$B$1:$B$21,,0)</f>
        <v>9</v>
      </c>
      <c r="J21" s="1"/>
      <c r="K21" s="23">
        <v>177</v>
      </c>
      <c r="L21" s="23">
        <v>135</v>
      </c>
      <c r="M21" s="5">
        <f>L21/(K21*K21)*10000</f>
        <v>43.091065785693765</v>
      </c>
      <c r="N21" s="4">
        <f>CONVERT(K21,"cm","in")</f>
        <v>69.685039370078741</v>
      </c>
      <c r="O21">
        <f>_xlfn.FLOOR.MATH(N21/12)</f>
        <v>5</v>
      </c>
      <c r="P21">
        <f>ROUND(N21-O21*12,1)</f>
        <v>9.6999999999999993</v>
      </c>
      <c r="Q21" t="str">
        <f>O21&amp;"' "&amp;P21&amp;""""</f>
        <v>5' 9.7"</v>
      </c>
      <c r="R21">
        <f>ROUND(CONVERT(L21,"kg","lbm"),0)</f>
        <v>298</v>
      </c>
      <c r="S21">
        <f t="shared" si="0"/>
        <v>34</v>
      </c>
      <c r="T21">
        <f t="shared" si="0"/>
        <v>38</v>
      </c>
      <c r="U21">
        <f t="shared" si="0"/>
        <v>34</v>
      </c>
    </row>
    <row r="22" spans="1:21" x14ac:dyDescent="0.35">
      <c r="A22" s="1" t="s">
        <v>191</v>
      </c>
      <c r="F22" t="s">
        <v>152</v>
      </c>
      <c r="G22" t="s">
        <v>147</v>
      </c>
      <c r="H22" t="s">
        <v>141</v>
      </c>
      <c r="I22" s="1">
        <f>_xlfn.XLOOKUP(H22,'rank lookup'!$A$1:$A$21,'rank lookup'!$B$1:$B$21,,0)</f>
        <v>10</v>
      </c>
      <c r="J22" s="1"/>
      <c r="K22" s="23">
        <v>204</v>
      </c>
      <c r="L22" s="23">
        <v>185</v>
      </c>
      <c r="M22" s="5">
        <f>L22/(K22*K22)*10000</f>
        <v>44.454056132256824</v>
      </c>
      <c r="N22" s="4">
        <f>CONVERT(K22,"cm","in")</f>
        <v>80.314960629921259</v>
      </c>
      <c r="O22">
        <f>_xlfn.FLOOR.MATH(N22/12)</f>
        <v>6</v>
      </c>
      <c r="P22">
        <f>ROUND(N22-O22*12,1)</f>
        <v>8.3000000000000007</v>
      </c>
      <c r="Q22" t="str">
        <f>O22&amp;"' "&amp;P22&amp;""""</f>
        <v>6' 8.3"</v>
      </c>
      <c r="R22">
        <f>ROUND(CONVERT(L22,"kg","lbm"),0)</f>
        <v>408</v>
      </c>
      <c r="S22">
        <f t="shared" si="0"/>
        <v>1</v>
      </c>
      <c r="T22">
        <f t="shared" si="0"/>
        <v>5</v>
      </c>
      <c r="U22">
        <f t="shared" si="0"/>
        <v>28</v>
      </c>
    </row>
    <row r="23" spans="1:21" x14ac:dyDescent="0.35">
      <c r="A23" s="1" t="s">
        <v>88</v>
      </c>
      <c r="B23" s="1"/>
      <c r="C23" s="1" t="s">
        <v>150</v>
      </c>
      <c r="D23" s="1" t="s">
        <v>150</v>
      </c>
      <c r="E23" s="1" t="s">
        <v>142</v>
      </c>
      <c r="F23" s="1" t="s">
        <v>152</v>
      </c>
      <c r="G23" s="1" t="s">
        <v>154</v>
      </c>
      <c r="H23" s="1" t="s">
        <v>141</v>
      </c>
      <c r="I23" s="1">
        <f>_xlfn.XLOOKUP(H23,'rank lookup'!$A$1:$A$21,'rank lookup'!$B$1:$B$21,,0)</f>
        <v>10</v>
      </c>
      <c r="J23" s="1"/>
      <c r="K23" s="23">
        <v>190</v>
      </c>
      <c r="L23" s="23">
        <v>179</v>
      </c>
      <c r="M23" s="5">
        <f>L23/(K23*K23)*10000</f>
        <v>49.584487534626035</v>
      </c>
      <c r="N23" s="4">
        <f>CONVERT(K23,"cm","in")</f>
        <v>74.803149606299215</v>
      </c>
      <c r="O23">
        <f>_xlfn.FLOOR.MATH(N23/12)</f>
        <v>6</v>
      </c>
      <c r="P23">
        <f>ROUND(N23-O23*12,1)</f>
        <v>2.8</v>
      </c>
      <c r="Q23" t="str">
        <f>O23&amp;"' "&amp;P23&amp;""""</f>
        <v>6' 2.8"</v>
      </c>
      <c r="R23">
        <f>ROUND(CONVERT(L23,"kg","lbm"),0)</f>
        <v>395</v>
      </c>
      <c r="S23">
        <f t="shared" si="0"/>
        <v>7</v>
      </c>
      <c r="T23">
        <f t="shared" si="0"/>
        <v>9</v>
      </c>
      <c r="U23">
        <f t="shared" si="0"/>
        <v>12</v>
      </c>
    </row>
    <row r="24" spans="1:21" x14ac:dyDescent="0.35">
      <c r="A24" s="1" t="s">
        <v>96</v>
      </c>
      <c r="B24" s="1"/>
      <c r="C24" s="1" t="s">
        <v>139</v>
      </c>
      <c r="D24" s="1" t="s">
        <v>132</v>
      </c>
      <c r="E24" s="1" t="s">
        <v>31</v>
      </c>
      <c r="F24" s="1" t="s">
        <v>135</v>
      </c>
      <c r="G24" s="1" t="s">
        <v>136</v>
      </c>
      <c r="H24" s="1" t="s">
        <v>135</v>
      </c>
      <c r="I24" s="1">
        <f>_xlfn.XLOOKUP(H24,'rank lookup'!$A$1:$A$21,'rank lookup'!$B$1:$B$21,,0)</f>
        <v>11</v>
      </c>
      <c r="J24" s="1"/>
      <c r="K24" s="23">
        <v>188</v>
      </c>
      <c r="L24" s="23">
        <v>183</v>
      </c>
      <c r="M24" s="5">
        <f>L24/(K24*K24)*10000</f>
        <v>51.776822091444096</v>
      </c>
      <c r="N24" s="4">
        <f>CONVERT(K24,"cm","in")</f>
        <v>74.015748031496059</v>
      </c>
      <c r="O24">
        <f>_xlfn.FLOOR.MATH(N24/12)</f>
        <v>6</v>
      </c>
      <c r="P24">
        <f>ROUND(N24-O24*12,1)</f>
        <v>2</v>
      </c>
      <c r="Q24" t="str">
        <f>O24&amp;"' "&amp;P24&amp;""""</f>
        <v>6' 2"</v>
      </c>
      <c r="R24">
        <f>ROUND(CONVERT(L24,"kg","lbm"),0)</f>
        <v>403</v>
      </c>
      <c r="S24">
        <f t="shared" si="0"/>
        <v>11</v>
      </c>
      <c r="T24">
        <f t="shared" si="0"/>
        <v>6</v>
      </c>
      <c r="U24">
        <f t="shared" si="0"/>
        <v>8</v>
      </c>
    </row>
    <row r="25" spans="1:21" x14ac:dyDescent="0.35">
      <c r="A25" s="1" t="s">
        <v>92</v>
      </c>
      <c r="B25" s="1">
        <v>2</v>
      </c>
      <c r="C25" s="1" t="s">
        <v>137</v>
      </c>
      <c r="D25" s="1" t="s">
        <v>42</v>
      </c>
      <c r="E25" s="1" t="s">
        <v>136</v>
      </c>
      <c r="F25" s="1" t="s">
        <v>132</v>
      </c>
      <c r="G25" s="1" t="s">
        <v>135</v>
      </c>
      <c r="H25" s="1" t="s">
        <v>135</v>
      </c>
      <c r="I25" s="1">
        <f>_xlfn.XLOOKUP(H25,'rank lookup'!$A$1:$A$21,'rank lookup'!$B$1:$B$21,,0)</f>
        <v>11</v>
      </c>
      <c r="J25" s="1"/>
      <c r="K25" s="23">
        <v>189</v>
      </c>
      <c r="L25" s="23">
        <v>174</v>
      </c>
      <c r="M25" s="5">
        <f>L25/(K25*K25)*10000</f>
        <v>48.710842361636011</v>
      </c>
      <c r="N25" s="4">
        <f>CONVERT(K25,"cm","in")</f>
        <v>74.409448818897644</v>
      </c>
      <c r="O25">
        <f>_xlfn.FLOOR.MATH(N25/12)</f>
        <v>6</v>
      </c>
      <c r="P25">
        <f>ROUND(N25-O25*12,1)</f>
        <v>2.4</v>
      </c>
      <c r="Q25" t="str">
        <f>O25&amp;"' "&amp;P25&amp;""""</f>
        <v>6' 2.4"</v>
      </c>
      <c r="R25">
        <f>ROUND(CONVERT(L25,"kg","lbm"),0)</f>
        <v>384</v>
      </c>
      <c r="S25">
        <f t="shared" si="0"/>
        <v>8</v>
      </c>
      <c r="T25">
        <f t="shared" si="0"/>
        <v>11</v>
      </c>
      <c r="U25">
        <f t="shared" si="0"/>
        <v>19</v>
      </c>
    </row>
    <row r="26" spans="1:21" x14ac:dyDescent="0.35">
      <c r="A26" t="s">
        <v>144</v>
      </c>
      <c r="C26" s="1" t="s">
        <v>145</v>
      </c>
      <c r="D26" s="1" t="s">
        <v>140</v>
      </c>
      <c r="E26" s="1" t="s">
        <v>139</v>
      </c>
      <c r="F26" s="1" t="s">
        <v>145</v>
      </c>
      <c r="G26" s="1" t="s">
        <v>137</v>
      </c>
      <c r="H26" s="1" t="s">
        <v>142</v>
      </c>
      <c r="I26" s="1">
        <f>_xlfn.XLOOKUP(H26,'rank lookup'!$A$1:$A$21,'rank lookup'!$B$1:$B$21,,0)</f>
        <v>12</v>
      </c>
      <c r="J26" s="1"/>
      <c r="K26" s="23">
        <v>184</v>
      </c>
      <c r="L26" s="23">
        <v>149</v>
      </c>
      <c r="M26" s="5">
        <f>L26/(K26*K26)*10000</f>
        <v>44.009924385633276</v>
      </c>
      <c r="N26" s="4">
        <f>CONVERT(K26,"cm","in")</f>
        <v>72.440944881889763</v>
      </c>
      <c r="O26">
        <f>_xlfn.FLOOR.MATH(N26/12)</f>
        <v>6</v>
      </c>
      <c r="P26">
        <f>ROUND(N26-O26*12,1)</f>
        <v>0.4</v>
      </c>
      <c r="Q26" t="str">
        <f>O26&amp;"' "&amp;P26&amp;""""</f>
        <v>6' 0.4"</v>
      </c>
      <c r="R26">
        <f>ROUND(CONVERT(L26,"kg","lbm"),0)</f>
        <v>328</v>
      </c>
      <c r="S26">
        <f t="shared" si="0"/>
        <v>22</v>
      </c>
      <c r="T26">
        <f t="shared" si="0"/>
        <v>31</v>
      </c>
      <c r="U26">
        <f t="shared" si="0"/>
        <v>32</v>
      </c>
    </row>
    <row r="27" spans="1:21" x14ac:dyDescent="0.35">
      <c r="A27" s="1" t="s">
        <v>111</v>
      </c>
      <c r="B27" s="1"/>
      <c r="C27" s="1" t="s">
        <v>140</v>
      </c>
      <c r="D27" s="1" t="s">
        <v>139</v>
      </c>
      <c r="E27" s="1" t="s">
        <v>139</v>
      </c>
      <c r="F27" s="1" t="s">
        <v>141</v>
      </c>
      <c r="G27" s="1" t="s">
        <v>142</v>
      </c>
      <c r="H27" s="1" t="s">
        <v>142</v>
      </c>
      <c r="I27" s="1">
        <f>_xlfn.XLOOKUP(H27,'rank lookup'!$A$1:$A$21,'rank lookup'!$B$1:$B$21,,0)</f>
        <v>12</v>
      </c>
      <c r="J27" s="1"/>
      <c r="K27" s="23">
        <v>182</v>
      </c>
      <c r="L27" s="23">
        <v>142</v>
      </c>
      <c r="M27" s="5">
        <f>L27/(K27*K27)*10000</f>
        <v>42.869218693394522</v>
      </c>
      <c r="N27" s="4">
        <f>CONVERT(K27,"cm","in")</f>
        <v>71.653543307086608</v>
      </c>
      <c r="O27">
        <f>_xlfn.FLOOR.MATH(N27/12)</f>
        <v>5</v>
      </c>
      <c r="P27">
        <f>ROUND(N27-O27*12,1)</f>
        <v>11.7</v>
      </c>
      <c r="Q27" t="str">
        <f>O27&amp;"' "&amp;P27&amp;""""</f>
        <v>5' 11.7"</v>
      </c>
      <c r="R27">
        <f>ROUND(CONVERT(L27,"kg","lbm"),0)</f>
        <v>313</v>
      </c>
      <c r="S27">
        <f t="shared" si="0"/>
        <v>28</v>
      </c>
      <c r="T27">
        <f t="shared" si="0"/>
        <v>35</v>
      </c>
      <c r="U27">
        <f t="shared" si="0"/>
        <v>36</v>
      </c>
    </row>
    <row r="28" spans="1:21" x14ac:dyDescent="0.35">
      <c r="A28" s="1" t="s">
        <v>103</v>
      </c>
      <c r="B28" s="1"/>
      <c r="C28" s="1" t="s">
        <v>142</v>
      </c>
      <c r="D28" s="1" t="s">
        <v>140</v>
      </c>
      <c r="E28" s="1" t="s">
        <v>141</v>
      </c>
      <c r="F28" s="1" t="s">
        <v>135</v>
      </c>
      <c r="G28" s="1" t="s">
        <v>135</v>
      </c>
      <c r="H28" s="1" t="s">
        <v>143</v>
      </c>
      <c r="I28" s="1">
        <f>_xlfn.XLOOKUP(H28,'rank lookup'!$A$1:$A$21,'rank lookup'!$B$1:$B$21,,0)</f>
        <v>13</v>
      </c>
      <c r="J28" s="1"/>
      <c r="K28" s="23">
        <v>184</v>
      </c>
      <c r="L28" s="23">
        <v>158</v>
      </c>
      <c r="M28" s="5">
        <f>L28/(K28*K28)*10000</f>
        <v>46.668241965973536</v>
      </c>
      <c r="N28" s="4">
        <f>CONVERT(K28,"cm","in")</f>
        <v>72.440944881889763</v>
      </c>
      <c r="O28">
        <f>_xlfn.FLOOR.MATH(N28/12)</f>
        <v>6</v>
      </c>
      <c r="P28">
        <f>ROUND(N28-O28*12,1)</f>
        <v>0.4</v>
      </c>
      <c r="Q28" t="str">
        <f>O28&amp;"' "&amp;P28&amp;""""</f>
        <v>6' 0.4"</v>
      </c>
      <c r="R28">
        <f>ROUND(CONVERT(L28,"kg","lbm"),0)</f>
        <v>348</v>
      </c>
      <c r="S28">
        <f t="shared" si="0"/>
        <v>22</v>
      </c>
      <c r="T28">
        <f t="shared" si="0"/>
        <v>24</v>
      </c>
      <c r="U28">
        <f t="shared" si="0"/>
        <v>25</v>
      </c>
    </row>
    <row r="29" spans="1:21" x14ac:dyDescent="0.35">
      <c r="A29" s="1" t="s">
        <v>101</v>
      </c>
      <c r="B29" s="1"/>
      <c r="C29" s="1" t="s">
        <v>145</v>
      </c>
      <c r="D29" s="1" t="s">
        <v>143</v>
      </c>
      <c r="E29" s="1" t="s">
        <v>143</v>
      </c>
      <c r="F29" s="1" t="s">
        <v>147</v>
      </c>
      <c r="G29" s="1" t="s">
        <v>142</v>
      </c>
      <c r="H29" s="1" t="s">
        <v>143</v>
      </c>
      <c r="I29" s="1">
        <f>_xlfn.XLOOKUP(H29,'rank lookup'!$A$1:$A$21,'rank lookup'!$B$1:$B$21,,0)</f>
        <v>13</v>
      </c>
      <c r="J29" s="1"/>
      <c r="K29" s="23">
        <v>183</v>
      </c>
      <c r="L29" s="23">
        <v>170</v>
      </c>
      <c r="M29" s="5">
        <f>L29/(K29*K29)*10000</f>
        <v>50.762937083818564</v>
      </c>
      <c r="N29" s="4">
        <f>CONVERT(K29,"cm","in")</f>
        <v>72.047244094488192</v>
      </c>
      <c r="O29">
        <f>_xlfn.FLOOR.MATH(N29/12)</f>
        <v>6</v>
      </c>
      <c r="P29">
        <f>ROUND(N29-O29*12,1)</f>
        <v>0</v>
      </c>
      <c r="Q29" t="str">
        <f>O29&amp;"' "&amp;P29&amp;""""</f>
        <v>6' 0"</v>
      </c>
      <c r="R29">
        <f>ROUND(CONVERT(L29,"kg","lbm"),0)</f>
        <v>375</v>
      </c>
      <c r="S29">
        <f t="shared" si="0"/>
        <v>27</v>
      </c>
      <c r="T29">
        <f t="shared" si="0"/>
        <v>15</v>
      </c>
      <c r="U29">
        <f t="shared" si="0"/>
        <v>10</v>
      </c>
    </row>
    <row r="30" spans="1:21" x14ac:dyDescent="0.35">
      <c r="A30" s="1" t="s">
        <v>189</v>
      </c>
      <c r="F30" t="s">
        <v>151</v>
      </c>
      <c r="G30" t="s">
        <v>140</v>
      </c>
      <c r="H30" s="1" t="s">
        <v>145</v>
      </c>
      <c r="I30" s="1">
        <f>_xlfn.XLOOKUP(H30,'rank lookup'!$A$1:$A$21,'rank lookup'!$B$1:$B$21,,0)</f>
        <v>14</v>
      </c>
      <c r="J30" s="1"/>
      <c r="K30" s="23">
        <v>192</v>
      </c>
      <c r="L30" s="23">
        <v>181</v>
      </c>
      <c r="M30" s="5">
        <f>L30/(K30*K30)*10000</f>
        <v>49.099392361111107</v>
      </c>
      <c r="N30" s="4">
        <f>CONVERT(K30,"cm","in")</f>
        <v>75.59055118110237</v>
      </c>
      <c r="O30">
        <f>_xlfn.FLOOR.MATH(N30/12)</f>
        <v>6</v>
      </c>
      <c r="P30">
        <f>ROUND(N30-O30*12,1)</f>
        <v>3.6</v>
      </c>
      <c r="Q30" t="str">
        <f>O30&amp;"' "&amp;P30&amp;""""</f>
        <v>6' 3.6"</v>
      </c>
      <c r="R30">
        <f>ROUND(CONVERT(L30,"kg","lbm"),0)</f>
        <v>399</v>
      </c>
      <c r="S30">
        <f t="shared" si="0"/>
        <v>3</v>
      </c>
      <c r="T30">
        <f t="shared" si="0"/>
        <v>7</v>
      </c>
      <c r="U30">
        <f t="shared" si="0"/>
        <v>18</v>
      </c>
    </row>
    <row r="31" spans="1:21" x14ac:dyDescent="0.35">
      <c r="A31" s="1" t="s">
        <v>97</v>
      </c>
      <c r="B31" s="1"/>
      <c r="C31" s="1" t="s">
        <v>143</v>
      </c>
      <c r="D31" s="1" t="s">
        <v>135</v>
      </c>
      <c r="E31" s="1" t="s">
        <v>141</v>
      </c>
      <c r="F31" s="1" t="s">
        <v>145</v>
      </c>
      <c r="G31" s="1" t="s">
        <v>151</v>
      </c>
      <c r="H31" s="1" t="s">
        <v>145</v>
      </c>
      <c r="I31" s="1">
        <f>_xlfn.XLOOKUP(H31,'rank lookup'!$A$1:$A$21,'rank lookup'!$B$1:$B$21,,0)</f>
        <v>14</v>
      </c>
      <c r="J31" s="1"/>
      <c r="K31" s="23">
        <v>188</v>
      </c>
      <c r="L31" s="23">
        <v>156</v>
      </c>
      <c r="M31" s="5">
        <f>L31/(K31*K31)*10000</f>
        <v>44.137618832050705</v>
      </c>
      <c r="N31" s="4">
        <f>CONVERT(K31,"cm","in")</f>
        <v>74.015748031496059</v>
      </c>
      <c r="O31">
        <f>_xlfn.FLOOR.MATH(N31/12)</f>
        <v>6</v>
      </c>
      <c r="P31">
        <f>ROUND(N31-O31*12,1)</f>
        <v>2</v>
      </c>
      <c r="Q31" t="str">
        <f>O31&amp;"' "&amp;P31&amp;""""</f>
        <v>6' 2"</v>
      </c>
      <c r="R31">
        <f>ROUND(CONVERT(L31,"kg","lbm"),0)</f>
        <v>344</v>
      </c>
      <c r="S31">
        <f t="shared" si="0"/>
        <v>11</v>
      </c>
      <c r="T31">
        <f t="shared" si="0"/>
        <v>26</v>
      </c>
      <c r="U31">
        <f t="shared" si="0"/>
        <v>30</v>
      </c>
    </row>
    <row r="32" spans="1:21" x14ac:dyDescent="0.35">
      <c r="A32" s="1" t="s">
        <v>122</v>
      </c>
      <c r="B32" s="1"/>
      <c r="C32" s="1" t="s">
        <v>143</v>
      </c>
      <c r="D32" s="1" t="s">
        <v>148</v>
      </c>
      <c r="E32" s="1" t="s">
        <v>150</v>
      </c>
      <c r="F32" s="1" t="s">
        <v>150</v>
      </c>
      <c r="G32" s="1" t="s">
        <v>148</v>
      </c>
      <c r="H32" s="1" t="s">
        <v>147</v>
      </c>
      <c r="I32" s="1">
        <f>_xlfn.XLOOKUP(H32,'rank lookup'!$A$1:$A$21,'rank lookup'!$B$1:$B$21,,0)</f>
        <v>15</v>
      </c>
      <c r="J32" s="1"/>
      <c r="K32" s="23">
        <v>176</v>
      </c>
      <c r="L32" s="23">
        <v>133</v>
      </c>
      <c r="M32" s="5">
        <f>L32/(K32*K32)*10000</f>
        <v>42.936466942148755</v>
      </c>
      <c r="N32" s="4">
        <f>CONVERT(K32,"cm","in")</f>
        <v>69.29133858267717</v>
      </c>
      <c r="O32">
        <f>_xlfn.FLOOR.MATH(N32/12)</f>
        <v>5</v>
      </c>
      <c r="P32">
        <f>ROUND(N32-O32*12,1)</f>
        <v>9.3000000000000007</v>
      </c>
      <c r="Q32" t="str">
        <f>O32&amp;"' "&amp;P32&amp;""""</f>
        <v>5' 9.3"</v>
      </c>
      <c r="R32">
        <f>ROUND(CONVERT(L32,"kg","lbm"),0)</f>
        <v>293</v>
      </c>
      <c r="S32">
        <f t="shared" si="0"/>
        <v>37</v>
      </c>
      <c r="T32">
        <f t="shared" si="0"/>
        <v>40</v>
      </c>
      <c r="U32">
        <f t="shared" si="0"/>
        <v>35</v>
      </c>
    </row>
    <row r="33" spans="1:21" x14ac:dyDescent="0.35">
      <c r="A33" s="1" t="s">
        <v>108</v>
      </c>
      <c r="B33" s="1"/>
      <c r="C33" s="1" t="s">
        <v>152</v>
      </c>
      <c r="D33" s="1" t="s">
        <v>170</v>
      </c>
      <c r="E33" s="1" t="s">
        <v>152</v>
      </c>
      <c r="F33" s="1" t="s">
        <v>154</v>
      </c>
      <c r="G33" s="1" t="s">
        <v>152</v>
      </c>
      <c r="H33" s="1" t="s">
        <v>147</v>
      </c>
      <c r="I33" s="1">
        <f>_xlfn.XLOOKUP(H33,'rank lookup'!$A$1:$A$21,'rank lookup'!$B$1:$B$21,,0)</f>
        <v>15</v>
      </c>
      <c r="J33" s="1"/>
      <c r="K33" s="23">
        <v>185</v>
      </c>
      <c r="L33" s="23">
        <v>194</v>
      </c>
      <c r="M33" s="5">
        <f>L33/(K33*K33)*10000</f>
        <v>56.683710737764791</v>
      </c>
      <c r="N33" s="4">
        <f>CONVERT(K33,"cm","in")</f>
        <v>72.834645669291348</v>
      </c>
      <c r="O33">
        <f>_xlfn.FLOOR.MATH(N33/12)</f>
        <v>6</v>
      </c>
      <c r="P33">
        <f>ROUND(N33-O33*12,1)</f>
        <v>0.8</v>
      </c>
      <c r="Q33" t="str">
        <f>O33&amp;"' "&amp;P33&amp;""""</f>
        <v>6' 0.8"</v>
      </c>
      <c r="R33">
        <f>ROUND(CONVERT(L33,"kg","lbm"),0)</f>
        <v>428</v>
      </c>
      <c r="S33">
        <f t="shared" si="0"/>
        <v>19</v>
      </c>
      <c r="T33">
        <f t="shared" si="0"/>
        <v>2</v>
      </c>
      <c r="U33">
        <f t="shared" si="0"/>
        <v>3</v>
      </c>
    </row>
    <row r="34" spans="1:21" x14ac:dyDescent="0.35">
      <c r="A34" s="1" t="s">
        <v>114</v>
      </c>
      <c r="B34" s="1"/>
      <c r="C34" s="1" t="s">
        <v>31</v>
      </c>
      <c r="D34" s="1" t="s">
        <v>31</v>
      </c>
      <c r="E34" s="1" t="s">
        <v>31</v>
      </c>
      <c r="F34" s="1" t="s">
        <v>31</v>
      </c>
      <c r="G34" s="1" t="s">
        <v>42</v>
      </c>
      <c r="H34" s="1" t="s">
        <v>148</v>
      </c>
      <c r="I34" s="1">
        <f>_xlfn.XLOOKUP(H34,'rank lookup'!$A$1:$A$21,'rank lookup'!$B$1:$B$21,,0)</f>
        <v>16</v>
      </c>
      <c r="J34" s="1"/>
      <c r="K34" s="23">
        <v>182</v>
      </c>
      <c r="L34" s="23">
        <v>132</v>
      </c>
      <c r="M34" s="5">
        <f>L34/(K34*K34)*10000</f>
        <v>39.850259630479414</v>
      </c>
      <c r="N34" s="4">
        <f>CONVERT(K34,"cm","in")</f>
        <v>71.653543307086608</v>
      </c>
      <c r="O34">
        <f>_xlfn.FLOOR.MATH(N34/12)</f>
        <v>5</v>
      </c>
      <c r="P34">
        <f>ROUND(N34-O34*12,1)</f>
        <v>11.7</v>
      </c>
      <c r="Q34" t="str">
        <f>O34&amp;"' "&amp;P34&amp;""""</f>
        <v>5' 11.7"</v>
      </c>
      <c r="R34">
        <f>ROUND(CONVERT(L34,"kg","lbm"),0)</f>
        <v>291</v>
      </c>
      <c r="S34">
        <f t="shared" si="0"/>
        <v>28</v>
      </c>
      <c r="T34">
        <f t="shared" si="0"/>
        <v>41</v>
      </c>
      <c r="U34">
        <f t="shared" si="0"/>
        <v>41</v>
      </c>
    </row>
    <row r="35" spans="1:21" x14ac:dyDescent="0.35">
      <c r="A35" s="1" t="s">
        <v>110</v>
      </c>
      <c r="B35" s="1"/>
      <c r="C35" s="1" t="s">
        <v>151</v>
      </c>
      <c r="D35" s="1" t="s">
        <v>145</v>
      </c>
      <c r="E35" s="1" t="s">
        <v>147</v>
      </c>
      <c r="F35" s="1" t="s">
        <v>154</v>
      </c>
      <c r="G35" s="1" t="s">
        <v>150</v>
      </c>
      <c r="H35" s="1" t="s">
        <v>148</v>
      </c>
      <c r="I35" s="1">
        <f>_xlfn.XLOOKUP(H35,'rank lookup'!$A$1:$A$21,'rank lookup'!$B$1:$B$21,,0)</f>
        <v>16</v>
      </c>
      <c r="J35" s="1"/>
      <c r="K35" s="23">
        <v>184</v>
      </c>
      <c r="L35" s="23">
        <v>137</v>
      </c>
      <c r="M35" s="5">
        <f>L35/(K35*K35)*10000</f>
        <v>40.465500945179578</v>
      </c>
      <c r="N35" s="4">
        <f>CONVERT(K35,"cm","in")</f>
        <v>72.440944881889763</v>
      </c>
      <c r="O35">
        <f>_xlfn.FLOOR.MATH(N35/12)</f>
        <v>6</v>
      </c>
      <c r="P35">
        <f>ROUND(N35-O35*12,1)</f>
        <v>0.4</v>
      </c>
      <c r="Q35" t="str">
        <f>O35&amp;"' "&amp;P35&amp;""""</f>
        <v>6' 0.4"</v>
      </c>
      <c r="R35">
        <f>ROUND(CONVERT(L35,"kg","lbm"),0)</f>
        <v>302</v>
      </c>
      <c r="S35">
        <f t="shared" si="0"/>
        <v>22</v>
      </c>
      <c r="T35">
        <f t="shared" si="0"/>
        <v>37</v>
      </c>
      <c r="U35">
        <f t="shared" si="0"/>
        <v>39</v>
      </c>
    </row>
    <row r="36" spans="1:21" x14ac:dyDescent="0.35">
      <c r="A36" t="s">
        <v>146</v>
      </c>
      <c r="C36" s="1" t="s">
        <v>147</v>
      </c>
      <c r="D36" s="1" t="s">
        <v>147</v>
      </c>
      <c r="E36" s="1" t="s">
        <v>150</v>
      </c>
      <c r="F36" s="1" t="s">
        <v>140</v>
      </c>
      <c r="G36" s="1" t="s">
        <v>140</v>
      </c>
      <c r="H36" s="1" t="s">
        <v>150</v>
      </c>
      <c r="I36" s="1">
        <f>_xlfn.XLOOKUP(H36,'rank lookup'!$A$1:$A$21,'rank lookup'!$B$1:$B$21,,0)</f>
        <v>17</v>
      </c>
      <c r="J36" s="1"/>
      <c r="K36" s="23">
        <v>191</v>
      </c>
      <c r="L36" s="23">
        <v>161</v>
      </c>
      <c r="M36" s="5">
        <f>L36/(K36*K36)*10000</f>
        <v>44.13256215564266</v>
      </c>
      <c r="N36" s="4">
        <f>CONVERT(K36,"cm","in")</f>
        <v>75.196850393700785</v>
      </c>
      <c r="O36">
        <f>_xlfn.FLOOR.MATH(N36/12)</f>
        <v>6</v>
      </c>
      <c r="P36">
        <f>ROUND(N36-O36*12,1)</f>
        <v>3.2</v>
      </c>
      <c r="Q36" t="str">
        <f>O36&amp;"' "&amp;P36&amp;""""</f>
        <v>6' 3.2"</v>
      </c>
      <c r="R36">
        <f>ROUND(CONVERT(L36,"kg","lbm"),0)</f>
        <v>355</v>
      </c>
      <c r="S36">
        <f t="shared" si="0"/>
        <v>5</v>
      </c>
      <c r="T36">
        <f t="shared" si="0"/>
        <v>22</v>
      </c>
      <c r="U36">
        <f t="shared" si="0"/>
        <v>31</v>
      </c>
    </row>
    <row r="37" spans="1:21" x14ac:dyDescent="0.35">
      <c r="A37" s="1" t="s">
        <v>243</v>
      </c>
      <c r="H37" t="s">
        <v>150</v>
      </c>
      <c r="I37" s="1">
        <f>_xlfn.XLOOKUP(H37,'rank lookup'!$A$1:$A$21,'rank lookup'!$B$1:$B$21,,0)</f>
        <v>17</v>
      </c>
      <c r="K37" s="25">
        <v>177</v>
      </c>
      <c r="L37" s="25">
        <v>154</v>
      </c>
      <c r="M37" s="5">
        <f>L37/(K37*K37)*10000</f>
        <v>49.155734303680298</v>
      </c>
      <c r="N37" s="4">
        <f>CONVERT(K37,"cm","in")</f>
        <v>69.685039370078741</v>
      </c>
      <c r="O37">
        <f>_xlfn.FLOOR.MATH(N37/12)</f>
        <v>5</v>
      </c>
      <c r="P37">
        <f>ROUND(N37-O37*12,1)</f>
        <v>9.6999999999999993</v>
      </c>
      <c r="Q37" t="str">
        <f>O37&amp;"' "&amp;P37&amp;""""</f>
        <v>5' 9.7"</v>
      </c>
      <c r="R37">
        <f>ROUND(CONVERT(L37,"kg","lbm"),0)</f>
        <v>340</v>
      </c>
      <c r="S37">
        <f t="shared" si="0"/>
        <v>34</v>
      </c>
      <c r="T37">
        <f t="shared" si="0"/>
        <v>28</v>
      </c>
      <c r="U37">
        <f t="shared" si="0"/>
        <v>17</v>
      </c>
    </row>
    <row r="38" spans="1:21" x14ac:dyDescent="0.35">
      <c r="A38" s="1" t="s">
        <v>188</v>
      </c>
      <c r="F38" t="s">
        <v>150</v>
      </c>
      <c r="G38" t="s">
        <v>147</v>
      </c>
      <c r="H38" s="1" t="s">
        <v>151</v>
      </c>
      <c r="I38" s="1">
        <f>_xlfn.XLOOKUP(H38,'rank lookup'!$A$1:$A$21,'rank lookup'!$B$1:$B$21,,0)</f>
        <v>18</v>
      </c>
      <c r="J38" s="1"/>
      <c r="K38" s="23">
        <v>185</v>
      </c>
      <c r="L38" s="23">
        <v>196</v>
      </c>
      <c r="M38" s="5">
        <f>L38/(K38*K38)*10000</f>
        <v>57.268078889700504</v>
      </c>
      <c r="N38" s="4">
        <f>CONVERT(K38,"cm","in")</f>
        <v>72.834645669291348</v>
      </c>
      <c r="O38">
        <f>_xlfn.FLOOR.MATH(N38/12)</f>
        <v>6</v>
      </c>
      <c r="P38">
        <f>ROUND(N38-O38*12,1)</f>
        <v>0.8</v>
      </c>
      <c r="Q38" t="str">
        <f>O38&amp;"' "&amp;P38&amp;""""</f>
        <v>6' 0.8"</v>
      </c>
      <c r="R38">
        <f>ROUND(CONVERT(L38,"kg","lbm"),0)</f>
        <v>432</v>
      </c>
      <c r="S38">
        <f t="shared" si="0"/>
        <v>19</v>
      </c>
      <c r="T38">
        <f t="shared" si="0"/>
        <v>1</v>
      </c>
      <c r="U38">
        <f t="shared" si="0"/>
        <v>2</v>
      </c>
    </row>
    <row r="39" spans="1:21" x14ac:dyDescent="0.35">
      <c r="A39" s="1" t="s">
        <v>244</v>
      </c>
      <c r="H39" t="s">
        <v>151</v>
      </c>
      <c r="I39" s="1">
        <f>_xlfn.XLOOKUP(H39,'rank lookup'!$A$1:$A$21,'rank lookup'!$B$1:$B$21,,0)</f>
        <v>18</v>
      </c>
      <c r="K39" s="25">
        <v>193</v>
      </c>
      <c r="L39" s="25">
        <v>186</v>
      </c>
      <c r="M39" s="5">
        <f>L39/(K39*K39)*10000</f>
        <v>49.93422642218583</v>
      </c>
      <c r="N39" s="4">
        <f>CONVERT(K39,"cm","in")</f>
        <v>75.984251968503941</v>
      </c>
      <c r="O39">
        <f>_xlfn.FLOOR.MATH(N39/12)</f>
        <v>6</v>
      </c>
      <c r="P39">
        <f>ROUND(N39-O39*12,1)</f>
        <v>4</v>
      </c>
      <c r="Q39" t="str">
        <f>O39&amp;"' "&amp;P39&amp;""""</f>
        <v>6' 4"</v>
      </c>
      <c r="R39">
        <f>ROUND(CONVERT(L39,"kg","lbm"),0)</f>
        <v>410</v>
      </c>
      <c r="S39">
        <f t="shared" si="0"/>
        <v>2</v>
      </c>
      <c r="T39">
        <f t="shared" si="0"/>
        <v>3</v>
      </c>
      <c r="U39">
        <f t="shared" si="0"/>
        <v>11</v>
      </c>
    </row>
    <row r="40" spans="1:21" x14ac:dyDescent="0.35">
      <c r="A40" t="s">
        <v>149</v>
      </c>
      <c r="C40" s="1" t="s">
        <v>148</v>
      </c>
      <c r="D40" s="1" t="s">
        <v>141</v>
      </c>
      <c r="E40" s="1" t="s">
        <v>140</v>
      </c>
      <c r="F40" s="1" t="s">
        <v>136</v>
      </c>
      <c r="G40" s="1" t="s">
        <v>145</v>
      </c>
      <c r="H40" s="1" t="s">
        <v>152</v>
      </c>
      <c r="I40" s="1">
        <f>_xlfn.XLOOKUP(H40,'rank lookup'!$A$1:$A$21,'rank lookup'!$B$1:$B$21,,0)</f>
        <v>19</v>
      </c>
      <c r="J40" s="1"/>
      <c r="K40" s="24">
        <v>188</v>
      </c>
      <c r="L40" s="23">
        <v>155</v>
      </c>
      <c r="M40" s="5">
        <f>L40/(K40*K40)*10000</f>
        <v>43.854685377999097</v>
      </c>
      <c r="N40" s="4">
        <f>CONVERT(K40,"cm","in")</f>
        <v>74.015748031496059</v>
      </c>
      <c r="O40">
        <f>_xlfn.FLOOR.MATH(N40/12)</f>
        <v>6</v>
      </c>
      <c r="P40">
        <f>ROUND(N40-O40*12,1)</f>
        <v>2</v>
      </c>
      <c r="Q40" t="str">
        <f>O40&amp;"' "&amp;P40&amp;""""</f>
        <v>6' 2"</v>
      </c>
      <c r="R40">
        <f>ROUND(CONVERT(L40,"kg","lbm"),0)</f>
        <v>342</v>
      </c>
      <c r="S40">
        <f t="shared" si="0"/>
        <v>11</v>
      </c>
      <c r="T40">
        <f t="shared" si="0"/>
        <v>27</v>
      </c>
      <c r="U40">
        <f t="shared" si="0"/>
        <v>33</v>
      </c>
    </row>
    <row r="41" spans="1:21" x14ac:dyDescent="0.35">
      <c r="A41" s="1" t="s">
        <v>104</v>
      </c>
      <c r="B41" s="1"/>
      <c r="C41" s="1" t="s">
        <v>140</v>
      </c>
      <c r="D41" s="1" t="s">
        <v>142</v>
      </c>
      <c r="E41" s="1" t="s">
        <v>154</v>
      </c>
      <c r="F41" s="1" t="s">
        <v>148</v>
      </c>
      <c r="G41" s="1" t="s">
        <v>145</v>
      </c>
      <c r="H41" s="1" t="s">
        <v>152</v>
      </c>
      <c r="I41" s="1">
        <f>_xlfn.XLOOKUP(H41,'rank lookup'!$A$1:$A$21,'rank lookup'!$B$1:$B$21,,0)</f>
        <v>19</v>
      </c>
      <c r="J41" s="1"/>
      <c r="K41" s="23">
        <v>186</v>
      </c>
      <c r="L41" s="23">
        <v>171</v>
      </c>
      <c r="M41" s="5">
        <f>L41/(K41*K41)*10000</f>
        <v>49.427679500520291</v>
      </c>
      <c r="N41" s="4">
        <f>CONVERT(K41,"cm","in")</f>
        <v>73.228346456692918</v>
      </c>
      <c r="O41">
        <f>_xlfn.FLOOR.MATH(N41/12)</f>
        <v>6</v>
      </c>
      <c r="P41">
        <f>ROUND(N41-O41*12,1)</f>
        <v>1.2</v>
      </c>
      <c r="Q41" t="str">
        <f>O41&amp;"' "&amp;P41&amp;""""</f>
        <v>6' 1.2"</v>
      </c>
      <c r="R41">
        <f>ROUND(CONVERT(L41,"kg","lbm"),0)</f>
        <v>377</v>
      </c>
      <c r="S41">
        <f t="shared" si="0"/>
        <v>16</v>
      </c>
      <c r="T41">
        <f t="shared" si="0"/>
        <v>13</v>
      </c>
      <c r="U41">
        <f t="shared" si="0"/>
        <v>15</v>
      </c>
    </row>
    <row r="42" spans="1:21" x14ac:dyDescent="0.35">
      <c r="A42" s="1" t="s">
        <v>99</v>
      </c>
      <c r="B42" s="1"/>
      <c r="C42" s="1" t="s">
        <v>141</v>
      </c>
      <c r="D42" s="1" t="s">
        <v>135</v>
      </c>
      <c r="E42" s="1" t="s">
        <v>143</v>
      </c>
      <c r="F42" s="1" t="s">
        <v>141</v>
      </c>
      <c r="G42" s="1" t="s">
        <v>136</v>
      </c>
      <c r="H42" s="1" t="s">
        <v>154</v>
      </c>
      <c r="I42" s="1">
        <f>_xlfn.XLOOKUP(H42,'rank lookup'!$A$1:$A$21,'rank lookup'!$B$1:$B$21,,0)</f>
        <v>20</v>
      </c>
      <c r="J42" s="1"/>
      <c r="K42" s="23">
        <v>184</v>
      </c>
      <c r="L42" s="23">
        <v>150</v>
      </c>
      <c r="M42" s="5">
        <f>L42/(K42*K42)*10000</f>
        <v>44.305293005671075</v>
      </c>
      <c r="N42" s="4">
        <f>CONVERT(K42,"cm","in")</f>
        <v>72.440944881889763</v>
      </c>
      <c r="O42">
        <f>_xlfn.FLOOR.MATH(N42/12)</f>
        <v>6</v>
      </c>
      <c r="P42">
        <f>ROUND(N42-O42*12,1)</f>
        <v>0.4</v>
      </c>
      <c r="Q42" t="str">
        <f>O42&amp;"' "&amp;P42&amp;""""</f>
        <v>6' 0.4"</v>
      </c>
      <c r="R42">
        <f>ROUND(CONVERT(L42,"kg","lbm"),0)</f>
        <v>331</v>
      </c>
      <c r="S42">
        <f t="shared" si="0"/>
        <v>22</v>
      </c>
      <c r="T42">
        <f t="shared" si="0"/>
        <v>30</v>
      </c>
      <c r="U42">
        <f t="shared" si="0"/>
        <v>29</v>
      </c>
    </row>
    <row r="43" spans="1:21" x14ac:dyDescent="0.35">
      <c r="A43" s="1" t="s">
        <v>190</v>
      </c>
      <c r="F43" t="s">
        <v>151</v>
      </c>
      <c r="G43" s="1" t="s">
        <v>170</v>
      </c>
      <c r="H43" s="1" t="s">
        <v>154</v>
      </c>
      <c r="I43" s="1">
        <f>_xlfn.XLOOKUP(H43,'rank lookup'!$A$1:$A$21,'rank lookup'!$B$1:$B$21,,0)</f>
        <v>20</v>
      </c>
      <c r="K43" s="23">
        <v>171</v>
      </c>
      <c r="L43" s="23">
        <v>171</v>
      </c>
      <c r="M43" s="5">
        <f>L43/(K43*K43)*10000</f>
        <v>58.479532163742689</v>
      </c>
      <c r="N43" s="4">
        <f>CONVERT(K43,"cm","in")</f>
        <v>67.322834645669289</v>
      </c>
      <c r="O43">
        <f>_xlfn.FLOOR.MATH(N43/12)</f>
        <v>5</v>
      </c>
      <c r="P43">
        <f>ROUND(N43-O43*12,1)</f>
        <v>7.3</v>
      </c>
      <c r="Q43" t="str">
        <f>O43&amp;"' "&amp;P43&amp;""""</f>
        <v>5' 7.3"</v>
      </c>
      <c r="R43">
        <f>ROUND(CONVERT(L43,"kg","lbm"),0)</f>
        <v>377</v>
      </c>
      <c r="S43">
        <f t="shared" si="0"/>
        <v>41</v>
      </c>
      <c r="T43">
        <f t="shared" si="0"/>
        <v>13</v>
      </c>
      <c r="U43">
        <f t="shared" si="0"/>
        <v>1</v>
      </c>
    </row>
    <row r="44" spans="1:21" x14ac:dyDescent="0.35">
      <c r="A44" s="1" t="s">
        <v>91</v>
      </c>
      <c r="B44" s="1"/>
      <c r="C44" s="1" t="s">
        <v>135</v>
      </c>
      <c r="D44" s="1" t="s">
        <v>145</v>
      </c>
      <c r="E44" s="1" t="s">
        <v>145</v>
      </c>
      <c r="F44" s="1" t="s">
        <v>143</v>
      </c>
      <c r="G44" s="1" t="s">
        <v>148</v>
      </c>
      <c r="H44" s="1" t="s">
        <v>186</v>
      </c>
      <c r="I44" s="1">
        <f>_xlfn.XLOOKUP(H44,'rank lookup'!$A$1:$A$21,'rank lookup'!$B$1:$B$21,,0)</f>
        <v>21</v>
      </c>
      <c r="J44" s="1"/>
      <c r="K44" s="23">
        <v>191</v>
      </c>
      <c r="L44" s="23">
        <v>186</v>
      </c>
      <c r="M44" s="5">
        <f>L44/(K44*K44)*10000</f>
        <v>50.985444477947425</v>
      </c>
      <c r="N44" s="4">
        <f>CONVERT(K44,"cm","in")</f>
        <v>75.196850393700785</v>
      </c>
      <c r="O44">
        <f>_xlfn.FLOOR.MATH(N44/12)</f>
        <v>6</v>
      </c>
      <c r="P44">
        <f>ROUND(N44-O44*12,1)</f>
        <v>3.2</v>
      </c>
      <c r="Q44" t="str">
        <f>O44&amp;"' "&amp;P44&amp;""""</f>
        <v>6' 3.2"</v>
      </c>
      <c r="R44">
        <f>ROUND(CONVERT(L44,"kg","lbm"),0)</f>
        <v>410</v>
      </c>
      <c r="S44">
        <f t="shared" si="0"/>
        <v>5</v>
      </c>
      <c r="T44">
        <f t="shared" si="0"/>
        <v>3</v>
      </c>
      <c r="U44">
        <f t="shared" si="0"/>
        <v>9</v>
      </c>
    </row>
    <row r="45" spans="1:21" x14ac:dyDescent="0.35">
      <c r="A45" s="1" t="s">
        <v>245</v>
      </c>
      <c r="H45" t="s">
        <v>186</v>
      </c>
      <c r="I45" s="1">
        <f>_xlfn.XLOOKUP(H45,'rank lookup'!$A$1:$A$21,'rank lookup'!$B$1:$B$21,,0)</f>
        <v>21</v>
      </c>
      <c r="K45" s="25">
        <v>181</v>
      </c>
      <c r="L45" s="25">
        <v>162</v>
      </c>
      <c r="M45" s="5">
        <f>L45/(K45*K45)*10000</f>
        <v>49.449040017093495</v>
      </c>
      <c r="N45" s="4">
        <f>CONVERT(K45,"cm","in")</f>
        <v>71.259842519685037</v>
      </c>
      <c r="O45">
        <f>_xlfn.FLOOR.MATH(N45/12)</f>
        <v>5</v>
      </c>
      <c r="P45">
        <f>ROUND(N45-O45*12,1)</f>
        <v>11.3</v>
      </c>
      <c r="Q45" t="str">
        <f>O45&amp;"' "&amp;P45&amp;""""</f>
        <v>5' 11.3"</v>
      </c>
      <c r="R45">
        <f>ROUND(CONVERT(L45,"kg","lbm"),0)</f>
        <v>357</v>
      </c>
      <c r="S45">
        <f t="shared" si="0"/>
        <v>31</v>
      </c>
      <c r="T45">
        <f t="shared" si="0"/>
        <v>21</v>
      </c>
      <c r="U45">
        <f t="shared" si="0"/>
        <v>14</v>
      </c>
    </row>
    <row r="46" spans="1:21" x14ac:dyDescent="0.35">
      <c r="A46" s="1" t="s">
        <v>89</v>
      </c>
      <c r="B46" s="1">
        <v>1</v>
      </c>
      <c r="C46" s="1" t="s">
        <v>42</v>
      </c>
      <c r="D46" s="1" t="s">
        <v>136</v>
      </c>
      <c r="E46" s="1" t="s">
        <v>135</v>
      </c>
      <c r="F46" s="1" t="s">
        <v>170</v>
      </c>
      <c r="G46" s="1" t="s">
        <v>150</v>
      </c>
      <c r="H46" s="1" t="s">
        <v>179</v>
      </c>
      <c r="I46" s="1" t="e">
        <f>_xlfn.XLOOKUP(H46,'rank lookup'!$A$1:$A$21,'rank lookup'!$B$1:$B$21,,0)</f>
        <v>#N/A</v>
      </c>
      <c r="J46" s="1"/>
      <c r="K46" s="23">
        <v>191</v>
      </c>
      <c r="L46" s="23">
        <v>219</v>
      </c>
      <c r="M46" s="5">
        <f>L46/(K46*K46)*10000</f>
        <v>60.031249143389715</v>
      </c>
      <c r="N46" s="4">
        <f>CONVERT(K46,"cm","in")</f>
        <v>75.196850393700785</v>
      </c>
      <c r="O46">
        <f>_xlfn.FLOOR.MATH(N46/12)</f>
        <v>6</v>
      </c>
      <c r="P46">
        <f>ROUND(N46-O46*12,1)</f>
        <v>3.2</v>
      </c>
      <c r="Q46" t="str">
        <f>O46&amp;"' "&amp;P46&amp;""""</f>
        <v>6' 3.2"</v>
      </c>
      <c r="R46">
        <f>ROUND(CONVERT(L46,"kg","lbm"),0)</f>
        <v>483</v>
      </c>
    </row>
    <row r="47" spans="1:21" x14ac:dyDescent="0.35">
      <c r="A47" s="1" t="s">
        <v>98</v>
      </c>
      <c r="B47" s="1"/>
      <c r="C47" s="1" t="s">
        <v>150</v>
      </c>
      <c r="D47" s="1" t="s">
        <v>151</v>
      </c>
      <c r="E47" s="1" t="s">
        <v>151</v>
      </c>
      <c r="F47" s="1" t="s">
        <v>142</v>
      </c>
      <c r="G47" s="1" t="s">
        <v>152</v>
      </c>
      <c r="H47" s="1" t="s">
        <v>170</v>
      </c>
      <c r="I47" s="1" t="e">
        <f>_xlfn.XLOOKUP(H47,'rank lookup'!$A$1:$A$21,'rank lookup'!$B$1:$B$21,,0)</f>
        <v>#N/A</v>
      </c>
      <c r="J47" s="1"/>
      <c r="K47" s="23">
        <v>187</v>
      </c>
      <c r="L47" s="23">
        <v>144</v>
      </c>
      <c r="M47" s="5">
        <f>L47/(K47*K47)*10000</f>
        <v>41.179330263948074</v>
      </c>
      <c r="N47" s="4">
        <f>CONVERT(K47,"cm","in")</f>
        <v>73.622047244094489</v>
      </c>
      <c r="O47">
        <f>_xlfn.FLOOR.MATH(N47/12)</f>
        <v>6</v>
      </c>
      <c r="P47">
        <f>ROUND(N47-O47*12,1)</f>
        <v>1.6</v>
      </c>
      <c r="Q47" t="str">
        <f>O47&amp;"' "&amp;P47&amp;""""</f>
        <v>6' 1.6"</v>
      </c>
      <c r="R47">
        <f>ROUND(CONVERT(L47,"kg","lbm"),0)</f>
        <v>317</v>
      </c>
    </row>
    <row r="48" spans="1:21" x14ac:dyDescent="0.35">
      <c r="A48" t="s">
        <v>153</v>
      </c>
      <c r="C48" s="1" t="s">
        <v>154</v>
      </c>
      <c r="D48" s="1" t="s">
        <v>170</v>
      </c>
      <c r="E48" s="1" t="s">
        <v>152</v>
      </c>
      <c r="F48" s="1" t="s">
        <v>186</v>
      </c>
      <c r="G48" s="1" t="s">
        <v>154</v>
      </c>
      <c r="H48" s="1" t="s">
        <v>192</v>
      </c>
      <c r="I48" s="1" t="e">
        <f>_xlfn.XLOOKUP(H48,'rank lookup'!$A$1:$A$21,'rank lookup'!$B$1:$B$21,,0)</f>
        <v>#N/A</v>
      </c>
      <c r="J48" s="1"/>
      <c r="K48" s="23">
        <v>189</v>
      </c>
      <c r="L48" s="23">
        <v>199</v>
      </c>
      <c r="M48" s="5">
        <f>L48/(K48*K48)*10000</f>
        <v>55.709526608997514</v>
      </c>
      <c r="N48" s="4">
        <f>CONVERT(K48,"cm","in")</f>
        <v>74.409448818897644</v>
      </c>
      <c r="O48">
        <f>_xlfn.FLOOR.MATH(N48/12)</f>
        <v>6</v>
      </c>
      <c r="P48">
        <f>ROUND(N48-O48*12,1)</f>
        <v>2.4</v>
      </c>
      <c r="Q48" t="str">
        <f>O48&amp;"' "&amp;P48&amp;""""</f>
        <v>6' 2.4"</v>
      </c>
      <c r="R48">
        <f>ROUND(CONVERT(L48,"kg","lbm"),0)</f>
        <v>439</v>
      </c>
    </row>
    <row r="49" spans="1:18" x14ac:dyDescent="0.35">
      <c r="A49" s="1" t="s">
        <v>167</v>
      </c>
      <c r="D49" t="s">
        <v>152</v>
      </c>
      <c r="E49" t="s">
        <v>148</v>
      </c>
      <c r="F49" t="s">
        <v>148</v>
      </c>
      <c r="G49" s="1" t="s">
        <v>186</v>
      </c>
      <c r="H49" s="1" t="s">
        <v>242</v>
      </c>
      <c r="I49" s="1" t="e">
        <f>_xlfn.XLOOKUP(H49,'rank lookup'!$A$1:$A$21,'rank lookup'!$B$1:$B$21,,0)</f>
        <v>#N/A</v>
      </c>
      <c r="K49" s="23">
        <v>193</v>
      </c>
      <c r="L49" s="23">
        <v>156</v>
      </c>
      <c r="M49" s="5">
        <f>L49/(K49*K49)*10000</f>
        <v>41.880318934736501</v>
      </c>
      <c r="N49" s="4">
        <f>CONVERT(K49,"cm","in")</f>
        <v>75.984251968503941</v>
      </c>
      <c r="O49">
        <f>_xlfn.FLOOR.MATH(N49/12)</f>
        <v>6</v>
      </c>
      <c r="P49">
        <f>ROUND(N49-O49*12,1)</f>
        <v>4</v>
      </c>
      <c r="Q49" t="str">
        <f>O49&amp;"' "&amp;P49&amp;""""</f>
        <v>6' 4"</v>
      </c>
      <c r="R49">
        <f>ROUND(CONVERT(L49,"kg","lbm"),0)</f>
        <v>344</v>
      </c>
    </row>
    <row r="50" spans="1:18" x14ac:dyDescent="0.35">
      <c r="A50" s="1" t="s">
        <v>166</v>
      </c>
      <c r="D50" t="s">
        <v>151</v>
      </c>
      <c r="E50" s="1" t="s">
        <v>151</v>
      </c>
      <c r="F50" s="1" t="s">
        <v>147</v>
      </c>
      <c r="G50" s="1" t="s">
        <v>192</v>
      </c>
      <c r="H50" s="1" t="s">
        <v>246</v>
      </c>
      <c r="I50" s="1" t="e">
        <f>_xlfn.XLOOKUP(H50,'rank lookup'!$A$1:$A$21,'rank lookup'!$B$1:$B$21,,0)</f>
        <v>#N/A</v>
      </c>
      <c r="J50" s="1"/>
      <c r="K50" s="23">
        <v>192</v>
      </c>
      <c r="L50" s="23">
        <v>159</v>
      </c>
      <c r="M50" s="5">
        <f>L50/(K50*K50)*10000</f>
        <v>43.131510416666671</v>
      </c>
      <c r="N50" s="4">
        <f>CONVERT(K50,"cm","in")</f>
        <v>75.59055118110237</v>
      </c>
      <c r="O50">
        <f>_xlfn.FLOOR.MATH(N50/12)</f>
        <v>6</v>
      </c>
      <c r="P50">
        <f>ROUND(N50-O50*12,1)</f>
        <v>3.6</v>
      </c>
      <c r="Q50" t="str">
        <f>O50&amp;"' "&amp;P50&amp;""""</f>
        <v>6' 3.6"</v>
      </c>
      <c r="R50">
        <f>ROUND(CONVERT(L50,"kg","lbm"),0)</f>
        <v>351</v>
      </c>
    </row>
    <row r="51" spans="1:18" x14ac:dyDescent="0.35">
      <c r="A51" s="1" t="s">
        <v>87</v>
      </c>
      <c r="B51" s="1">
        <v>1</v>
      </c>
      <c r="C51" s="1" t="s">
        <v>142</v>
      </c>
      <c r="D51" s="1" t="s">
        <v>142</v>
      </c>
      <c r="E51" s="1" t="s">
        <v>147</v>
      </c>
      <c r="F51" s="1" t="s">
        <v>192</v>
      </c>
      <c r="G51" s="1" t="s">
        <v>232</v>
      </c>
      <c r="H51" s="1" t="s">
        <v>179</v>
      </c>
      <c r="I51" s="1" t="e">
        <f>_xlfn.XLOOKUP(H51,'rank lookup'!$A$1:$A$21,'rank lookup'!$B$1:$B$21,,0)</f>
        <v>#N/A</v>
      </c>
      <c r="J51" s="1"/>
      <c r="K51" s="23">
        <v>192</v>
      </c>
      <c r="L51" s="23">
        <v>189</v>
      </c>
      <c r="M51" s="5">
        <f>L51/(K51*K51)*10000</f>
        <v>51.26953125</v>
      </c>
      <c r="N51" s="4">
        <f>CONVERT(K51,"cm","in")</f>
        <v>75.59055118110237</v>
      </c>
      <c r="O51">
        <f>_xlfn.FLOOR.MATH(N51/12)</f>
        <v>6</v>
      </c>
      <c r="P51">
        <f>ROUND(N51-O51*12,1)</f>
        <v>3.6</v>
      </c>
      <c r="Q51" t="str">
        <f>O51&amp;"' "&amp;P51&amp;""""</f>
        <v>6' 3.6"</v>
      </c>
      <c r="R51">
        <f>ROUND(CONVERT(L51,"kg","lbm"),0)</f>
        <v>417</v>
      </c>
    </row>
    <row r="52" spans="1:18" x14ac:dyDescent="0.35">
      <c r="A52" s="1" t="s">
        <v>90</v>
      </c>
      <c r="B52" s="1"/>
      <c r="C52" s="1" t="s">
        <v>148</v>
      </c>
      <c r="D52" s="1" t="s">
        <v>150</v>
      </c>
      <c r="E52" s="1" t="s">
        <v>148</v>
      </c>
      <c r="F52" s="1" t="s">
        <v>179</v>
      </c>
      <c r="G52" s="1"/>
      <c r="H52" s="1"/>
      <c r="I52" s="1" t="e">
        <f>_xlfn.XLOOKUP(H52,'rank lookup'!$A$1:$A$21,'rank lookup'!$B$1:$B$21,,0)</f>
        <v>#N/A</v>
      </c>
      <c r="J52" s="1"/>
      <c r="K52" s="23">
        <v>189</v>
      </c>
      <c r="L52" s="23">
        <v>161</v>
      </c>
      <c r="M52" s="5">
        <f>L52/(K52*K52)*10000</f>
        <v>45.071526553008034</v>
      </c>
      <c r="N52" s="4">
        <f>CONVERT(K52,"cm","in")</f>
        <v>74.409448818897644</v>
      </c>
      <c r="O52">
        <f>_xlfn.FLOOR.MATH(N52/12)</f>
        <v>6</v>
      </c>
      <c r="P52">
        <f>ROUND(N52-O52*12,1)</f>
        <v>2.4</v>
      </c>
      <c r="Q52" t="str">
        <f>O52&amp;"' "&amp;P52&amp;""""</f>
        <v>6' 2.4"</v>
      </c>
      <c r="R52">
        <f>ROUND(CONVERT(L52,"kg","lbm"),0)</f>
        <v>355</v>
      </c>
    </row>
    <row r="53" spans="1:18" x14ac:dyDescent="0.35">
      <c r="A53" t="s">
        <v>119</v>
      </c>
      <c r="E53" s="1" t="s">
        <v>154</v>
      </c>
      <c r="F53" s="1" t="s">
        <v>169</v>
      </c>
      <c r="G53" s="1" t="s">
        <v>180</v>
      </c>
      <c r="H53" s="1" t="s">
        <v>247</v>
      </c>
      <c r="I53" s="1" t="e">
        <f>_xlfn.XLOOKUP(H53,'rank lookup'!$A$1:$A$21,'rank lookup'!$B$1:$B$21,,0)</f>
        <v>#N/A</v>
      </c>
      <c r="J53" s="1"/>
      <c r="K53" s="23">
        <v>178</v>
      </c>
      <c r="L53" s="23">
        <v>166</v>
      </c>
      <c r="M53" s="5">
        <f>L53/(K53*K53)*10000</f>
        <v>52.392374700164119</v>
      </c>
      <c r="N53" s="4">
        <f>CONVERT(K53,"cm","in")</f>
        <v>70.078740157480311</v>
      </c>
      <c r="O53">
        <f>_xlfn.FLOOR.MATH(N53/12)</f>
        <v>5</v>
      </c>
      <c r="P53">
        <f>ROUND(N53-O53*12,1)</f>
        <v>10.1</v>
      </c>
      <c r="Q53" t="str">
        <f>O53&amp;"' "&amp;P53&amp;""""</f>
        <v>5' 10.1"</v>
      </c>
      <c r="R53">
        <f>ROUND(CONVERT(L53,"kg","lbm"),0)</f>
        <v>366</v>
      </c>
    </row>
    <row r="54" spans="1:18" x14ac:dyDescent="0.35">
      <c r="A54" s="1" t="s">
        <v>113</v>
      </c>
      <c r="B54" s="1"/>
      <c r="C54" s="1" t="s">
        <v>147</v>
      </c>
      <c r="D54" s="1" t="s">
        <v>148</v>
      </c>
      <c r="E54" s="1" t="s">
        <v>179</v>
      </c>
      <c r="F54" s="1"/>
      <c r="G54" s="1"/>
      <c r="H54" s="1"/>
      <c r="I54" s="1" t="e">
        <f>_xlfn.XLOOKUP(H54,'rank lookup'!$A$1:$A$21,'rank lookup'!$B$1:$B$21,,0)</f>
        <v>#N/A</v>
      </c>
      <c r="J54" s="1"/>
      <c r="K54" s="23">
        <v>181</v>
      </c>
      <c r="L54" s="23">
        <v>189</v>
      </c>
      <c r="M54" s="5">
        <f>L54/(K54*K54)*10000</f>
        <v>57.690546686609082</v>
      </c>
      <c r="N54" s="4">
        <f>CONVERT(K54,"cm","in")</f>
        <v>71.259842519685037</v>
      </c>
      <c r="O54">
        <f>_xlfn.FLOOR.MATH(N54/12)</f>
        <v>5</v>
      </c>
      <c r="P54">
        <f>ROUND(N54-O54*12,1)</f>
        <v>11.3</v>
      </c>
      <c r="Q54" t="str">
        <f>O54&amp;"' "&amp;P54&amp;""""</f>
        <v>5' 11.3"</v>
      </c>
      <c r="R54">
        <f>ROUND(CONVERT(L54,"kg","lbm"),0)</f>
        <v>417</v>
      </c>
    </row>
    <row r="55" spans="1:18" x14ac:dyDescent="0.35">
      <c r="A55" s="1" t="s">
        <v>168</v>
      </c>
      <c r="D55" t="s">
        <v>152</v>
      </c>
      <c r="E55" s="1" t="s">
        <v>170</v>
      </c>
      <c r="F55" s="1" t="s">
        <v>187</v>
      </c>
      <c r="G55" s="1" t="s">
        <v>187</v>
      </c>
      <c r="H55" s="1" t="s">
        <v>242</v>
      </c>
      <c r="I55" s="1" t="e">
        <f>_xlfn.XLOOKUP(H55,'rank lookup'!$A$1:$A$21,'rank lookup'!$B$1:$B$21,,0)</f>
        <v>#N/A</v>
      </c>
      <c r="K55" s="23">
        <v>185</v>
      </c>
      <c r="L55" s="23">
        <v>174</v>
      </c>
      <c r="M55" s="5">
        <f>L55/(K55*K55)*10000</f>
        <v>50.840029218407601</v>
      </c>
      <c r="N55" s="4">
        <f>CONVERT(K55,"cm","in")</f>
        <v>72.834645669291348</v>
      </c>
      <c r="O55">
        <f>_xlfn.FLOOR.MATH(N55/12)</f>
        <v>6</v>
      </c>
      <c r="P55">
        <f>ROUND(N55-O55*12,1)</f>
        <v>0.8</v>
      </c>
      <c r="Q55" t="str">
        <f>O55&amp;"' "&amp;P55&amp;""""</f>
        <v>6' 0.8"</v>
      </c>
      <c r="R55">
        <f>ROUND(CONVERT(L55,"kg","lbm"),0)</f>
        <v>384</v>
      </c>
    </row>
    <row r="56" spans="1:18" x14ac:dyDescent="0.35">
      <c r="A56" s="1" t="s">
        <v>126</v>
      </c>
      <c r="B56" s="1"/>
      <c r="C56" s="1" t="s">
        <v>152</v>
      </c>
      <c r="D56" s="1" t="s">
        <v>154</v>
      </c>
      <c r="E56" s="1" t="s">
        <v>180</v>
      </c>
      <c r="F56" s="1" t="s">
        <v>194</v>
      </c>
      <c r="G56" s="1" t="s">
        <v>233</v>
      </c>
      <c r="H56" s="1"/>
      <c r="I56" s="1" t="e">
        <f>_xlfn.XLOOKUP(H56,'rank lookup'!$A$1:$A$21,'rank lookup'!$B$1:$B$21,,0)</f>
        <v>#N/A</v>
      </c>
      <c r="J56" s="1"/>
      <c r="K56" s="23">
        <v>169</v>
      </c>
      <c r="L56" s="23">
        <v>107</v>
      </c>
      <c r="M56" s="5">
        <f>L56/(K56*K56)*10000</f>
        <v>37.463674241098005</v>
      </c>
      <c r="N56" s="4">
        <f>CONVERT(K56,"cm","in")</f>
        <v>66.535433070866134</v>
      </c>
      <c r="O56">
        <f>_xlfn.FLOOR.MATH(N56/12)</f>
        <v>5</v>
      </c>
      <c r="P56">
        <f>ROUND(N56-O56*12,1)</f>
        <v>6.5</v>
      </c>
      <c r="Q56" t="str">
        <f>O56&amp;"' "&amp;P56&amp;""""</f>
        <v>5' 6.5"</v>
      </c>
      <c r="R56">
        <f>ROUND(CONVERT(L56,"kg","lbm"),0)</f>
        <v>236</v>
      </c>
    </row>
    <row r="57" spans="1:18" x14ac:dyDescent="0.35">
      <c r="A57" s="1" t="s">
        <v>107</v>
      </c>
      <c r="B57" s="1"/>
      <c r="C57" s="1" t="s">
        <v>151</v>
      </c>
      <c r="D57" s="1" t="s">
        <v>169</v>
      </c>
      <c r="E57" s="1" t="s">
        <v>179</v>
      </c>
      <c r="F57" s="1"/>
      <c r="G57" s="1"/>
      <c r="H57" s="1"/>
      <c r="I57" s="1" t="e">
        <f>_xlfn.XLOOKUP(H57,'rank lookup'!$A$1:$A$21,'rank lookup'!$B$1:$B$21,,0)</f>
        <v>#N/A</v>
      </c>
      <c r="J57" s="1"/>
      <c r="K57" s="23">
        <v>185</v>
      </c>
      <c r="L57" s="23">
        <v>181</v>
      </c>
      <c r="M57" s="5">
        <f>L57/(K57*K57)*10000</f>
        <v>52.885317750182615</v>
      </c>
      <c r="N57" s="4">
        <f>CONVERT(K57,"cm","in")</f>
        <v>72.834645669291348</v>
      </c>
      <c r="O57">
        <f>_xlfn.FLOOR.MATH(N57/12)</f>
        <v>6</v>
      </c>
      <c r="P57">
        <f>ROUND(N57-O57*12,1)</f>
        <v>0.8</v>
      </c>
      <c r="Q57" t="str">
        <f>O57&amp;"' "&amp;P57&amp;""""</f>
        <v>6' 0.8"</v>
      </c>
      <c r="R57">
        <f>ROUND(CONVERT(L57,"kg","lbm"),0)</f>
        <v>399</v>
      </c>
    </row>
  </sheetData>
  <autoFilter ref="A3:R55" xr:uid="{7067DD38-AD06-4250-9520-A2F29B57D9C0}">
    <sortState xmlns:xlrd2="http://schemas.microsoft.com/office/spreadsheetml/2017/richdata2" ref="A4:R57">
      <sortCondition ref="I3:I55"/>
    </sortState>
  </autoFilter>
  <hyperlinks>
    <hyperlink ref="C2" r:id="rId1" xr:uid="{7CA43C36-6E42-4EBE-93D2-AE22141CFDEB}"/>
    <hyperlink ref="K2" r:id="rId2" xr:uid="{A9FEE77A-E0AF-4A7D-8FA4-53B11415E245}"/>
  </hyperlink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51"/>
  <sheetViews>
    <sheetView topLeftCell="A134" workbookViewId="0">
      <selection activeCell="B153" sqref="B153"/>
    </sheetView>
  </sheetViews>
  <sheetFormatPr defaultRowHeight="14.5" x14ac:dyDescent="0.35"/>
  <cols>
    <col min="1" max="1" width="25.81640625" bestFit="1" customWidth="1"/>
    <col min="2" max="2" width="40.54296875" customWidth="1"/>
    <col min="3" max="3" width="2.54296875" customWidth="1"/>
    <col min="4" max="4" width="20.54296875" customWidth="1"/>
    <col min="5" max="5" width="40.54296875" customWidth="1"/>
  </cols>
  <sheetData>
    <row r="1" spans="1:2" x14ac:dyDescent="0.35">
      <c r="A1" t="s">
        <v>0</v>
      </c>
      <c r="B1" t="s">
        <v>235</v>
      </c>
    </row>
    <row r="2" spans="1:2" x14ac:dyDescent="0.35">
      <c r="B2" s="17"/>
    </row>
    <row r="5" spans="1:2" x14ac:dyDescent="0.35">
      <c r="A5" s="3" t="s">
        <v>1</v>
      </c>
    </row>
    <row r="6" spans="1:2" x14ac:dyDescent="0.35">
      <c r="A6" t="s">
        <v>158</v>
      </c>
      <c r="B6" t="s">
        <v>2</v>
      </c>
    </row>
    <row r="7" spans="1:2" x14ac:dyDescent="0.35">
      <c r="A7" t="s">
        <v>129</v>
      </c>
    </row>
    <row r="9" spans="1:2" x14ac:dyDescent="0.35">
      <c r="A9" t="s">
        <v>130</v>
      </c>
    </row>
    <row r="10" spans="1:2" x14ac:dyDescent="0.35">
      <c r="A10" s="17" t="s">
        <v>127</v>
      </c>
    </row>
    <row r="12" spans="1:2" ht="25" x14ac:dyDescent="0.65">
      <c r="A12" s="18" t="s">
        <v>128</v>
      </c>
    </row>
    <row r="14" spans="1:2" ht="25" x14ac:dyDescent="0.65">
      <c r="A14" s="18"/>
    </row>
    <row r="38" spans="1:1" x14ac:dyDescent="0.35">
      <c r="A38" t="s">
        <v>159</v>
      </c>
    </row>
    <row r="39" spans="1:1" x14ac:dyDescent="0.35">
      <c r="A39" t="s">
        <v>157</v>
      </c>
    </row>
    <row r="137" spans="1:1" x14ac:dyDescent="0.35">
      <c r="A137" t="s">
        <v>160</v>
      </c>
    </row>
    <row r="138" spans="1:1" x14ac:dyDescent="0.35">
      <c r="A138" s="17" t="s">
        <v>134</v>
      </c>
    </row>
    <row r="139" spans="1:1" x14ac:dyDescent="0.35">
      <c r="A139" t="s">
        <v>161</v>
      </c>
    </row>
    <row r="141" spans="1:1" x14ac:dyDescent="0.35">
      <c r="A141" t="s">
        <v>183</v>
      </c>
    </row>
    <row r="142" spans="1:1" x14ac:dyDescent="0.35">
      <c r="A142" s="17" t="s">
        <v>134</v>
      </c>
    </row>
    <row r="143" spans="1:1" x14ac:dyDescent="0.35">
      <c r="A143" t="s">
        <v>184</v>
      </c>
    </row>
    <row r="145" spans="1:1" x14ac:dyDescent="0.35">
      <c r="A145" t="s">
        <v>214</v>
      </c>
    </row>
    <row r="146" spans="1:1" x14ac:dyDescent="0.35">
      <c r="A146" s="17" t="s">
        <v>134</v>
      </c>
    </row>
    <row r="147" spans="1:1" x14ac:dyDescent="0.35">
      <c r="A147" t="s">
        <v>215</v>
      </c>
    </row>
    <row r="149" spans="1:1" x14ac:dyDescent="0.35">
      <c r="A149" t="s">
        <v>236</v>
      </c>
    </row>
    <row r="150" spans="1:1" x14ac:dyDescent="0.35">
      <c r="A150" s="17" t="s">
        <v>134</v>
      </c>
    </row>
    <row r="151" spans="1:1" x14ac:dyDescent="0.35">
      <c r="A151" t="s">
        <v>237</v>
      </c>
    </row>
  </sheetData>
  <hyperlinks>
    <hyperlink ref="A10" r:id="rId1" xr:uid="{31C73356-7DC0-4298-8CDD-38AFBFE809D7}"/>
    <hyperlink ref="A138" r:id="rId2" xr:uid="{733FC5E5-E250-451A-8A90-1D3BCA57DC39}"/>
    <hyperlink ref="A142" r:id="rId3" xr:uid="{7EFEF7D6-1FE3-4B02-8704-088365A1D545}"/>
    <hyperlink ref="A146" r:id="rId4" xr:uid="{2868AD04-8A08-4848-AFD8-AB4F6CFF8232}"/>
    <hyperlink ref="A150" r:id="rId5" xr:uid="{D36DF8E3-A375-4A42-9FB5-51B20BFE54A5}"/>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A818-88B3-4AEA-9152-6A5AF77C3B55}">
  <dimension ref="A1:W49"/>
  <sheetViews>
    <sheetView topLeftCell="D10" zoomScale="106" zoomScaleNormal="106" workbookViewId="0">
      <selection activeCell="A10" sqref="A10"/>
    </sheetView>
  </sheetViews>
  <sheetFormatPr defaultRowHeight="14.5" x14ac:dyDescent="0.35"/>
  <cols>
    <col min="1" max="7" width="21.1796875" customWidth="1"/>
    <col min="10" max="10" width="11.26953125" bestFit="1" customWidth="1"/>
    <col min="11" max="11" width="8.7265625" style="4"/>
    <col min="18" max="18" width="9.54296875" customWidth="1"/>
  </cols>
  <sheetData>
    <row r="1" spans="1:23" x14ac:dyDescent="0.35">
      <c r="C1" t="s">
        <v>174</v>
      </c>
      <c r="H1" t="s">
        <v>178</v>
      </c>
    </row>
    <row r="2" spans="1:23" x14ac:dyDescent="0.35">
      <c r="C2" s="17" t="s">
        <v>162</v>
      </c>
      <c r="D2" s="17"/>
      <c r="E2" s="17"/>
      <c r="P2">
        <f>MAX(P4:P45)</f>
        <v>42</v>
      </c>
      <c r="Q2">
        <f>MAX(Q4:Q45)</f>
        <v>42</v>
      </c>
      <c r="R2">
        <f>MAX(R4:R45)</f>
        <v>42</v>
      </c>
    </row>
    <row r="3" spans="1:23" x14ac:dyDescent="0.35">
      <c r="A3" t="s">
        <v>3</v>
      </c>
      <c r="B3" t="s">
        <v>11</v>
      </c>
      <c r="C3" t="s">
        <v>131</v>
      </c>
      <c r="D3" t="s">
        <v>163</v>
      </c>
      <c r="E3" t="s">
        <v>175</v>
      </c>
      <c r="F3" t="s">
        <v>177</v>
      </c>
      <c r="G3" t="s">
        <v>164</v>
      </c>
      <c r="H3" t="s">
        <v>5</v>
      </c>
      <c r="I3" t="s">
        <v>4</v>
      </c>
      <c r="J3" t="s">
        <v>26</v>
      </c>
      <c r="K3" s="4" t="s">
        <v>6</v>
      </c>
      <c r="L3" t="s">
        <v>7</v>
      </c>
      <c r="M3" t="s">
        <v>8</v>
      </c>
      <c r="N3" t="s">
        <v>9</v>
      </c>
      <c r="O3" t="s">
        <v>10</v>
      </c>
      <c r="P3" t="s">
        <v>171</v>
      </c>
      <c r="Q3" t="s">
        <v>172</v>
      </c>
      <c r="R3" t="s">
        <v>173</v>
      </c>
      <c r="S3" t="s">
        <v>181</v>
      </c>
      <c r="T3" s="14" t="s">
        <v>182</v>
      </c>
      <c r="W3">
        <f>SUM(W4:W23)</f>
        <v>41</v>
      </c>
    </row>
    <row r="4" spans="1:23" ht="25" x14ac:dyDescent="0.35">
      <c r="A4" s="1" t="s">
        <v>86</v>
      </c>
      <c r="B4" s="1">
        <v>7</v>
      </c>
      <c r="C4" s="1" t="s">
        <v>14</v>
      </c>
      <c r="D4" s="1" t="s">
        <v>14</v>
      </c>
      <c r="E4" s="1" t="s">
        <v>14</v>
      </c>
      <c r="F4" s="1">
        <f>_xlfn.XLOOKUP(E4,'rank lookup'!$A$1:$A$21,'rank lookup'!$B$1:$B$21,,0)</f>
        <v>1</v>
      </c>
      <c r="G4" s="1" t="s">
        <v>176</v>
      </c>
      <c r="H4" s="19">
        <v>192</v>
      </c>
      <c r="I4" s="19">
        <v>180</v>
      </c>
      <c r="J4" s="5">
        <f t="shared" ref="J4:J49" si="0">I4/(H4*H4)*10000</f>
        <v>48.828125</v>
      </c>
      <c r="K4" s="4">
        <f t="shared" ref="K4:K49" si="1">CONVERT(H4,"cm","in")</f>
        <v>75.59055118110237</v>
      </c>
      <c r="L4">
        <f t="shared" ref="L4:L49" si="2">_xlfn.FLOOR.MATH(K4/12)</f>
        <v>6</v>
      </c>
      <c r="M4">
        <f t="shared" ref="M4:M49" si="3">ROUND(K4-L4*12,1)</f>
        <v>3.6</v>
      </c>
      <c r="N4" t="str">
        <f t="shared" ref="N4:N49" si="4">L4&amp;"' "&amp;M4&amp;""""</f>
        <v>6' 3.6"</v>
      </c>
      <c r="O4">
        <f t="shared" ref="O4:O49" si="5">ROUND(CONVERT(I4,"kg","lbm"),0)</f>
        <v>397</v>
      </c>
      <c r="P4">
        <f>_xlfn.RANK.EQ(H4,H$4:H$45)</f>
        <v>2</v>
      </c>
      <c r="Q4">
        <f>_xlfn.RANK.EQ(I4,I$4:I$45)</f>
        <v>7</v>
      </c>
      <c r="R4">
        <f>_xlfn.RANK.EQ(J4,J$4:J$45)</f>
        <v>16</v>
      </c>
      <c r="S4">
        <f>_xlfn.XLOOKUP(A4,'November 2022 Data'!$A$4:$A$48,'November 2022 Data'!$H$4:$H$48,,0)</f>
        <v>181</v>
      </c>
      <c r="T4">
        <f>I4-S4</f>
        <v>-1</v>
      </c>
      <c r="V4" cm="1">
        <f t="array" ref="V4:V23">_xlfn.SEQUENCE(20,1,-3)</f>
        <v>-3</v>
      </c>
      <c r="W4">
        <f>COUNTIFS($T$4:$T$44,V4)</f>
        <v>3</v>
      </c>
    </row>
    <row r="5" spans="1:23" x14ac:dyDescent="0.35">
      <c r="A5" s="1" t="s">
        <v>123</v>
      </c>
      <c r="B5" s="1">
        <v>2</v>
      </c>
      <c r="C5" s="1" t="s">
        <v>39</v>
      </c>
      <c r="D5" s="1" t="s">
        <v>39</v>
      </c>
      <c r="E5" s="1" t="s">
        <v>39</v>
      </c>
      <c r="F5" s="1">
        <f>_xlfn.XLOOKUP(E5,'rank lookup'!$A$1:$A$21,'rank lookup'!$B$1:$B$21,,0)</f>
        <v>2</v>
      </c>
      <c r="G5" s="1"/>
      <c r="H5" s="19">
        <v>175</v>
      </c>
      <c r="I5" s="19">
        <v>165</v>
      </c>
      <c r="J5" s="5">
        <f t="shared" si="0"/>
        <v>53.877551020408163</v>
      </c>
      <c r="K5" s="4">
        <f t="shared" si="1"/>
        <v>68.897637795275585</v>
      </c>
      <c r="L5">
        <f t="shared" si="2"/>
        <v>5</v>
      </c>
      <c r="M5">
        <f t="shared" si="3"/>
        <v>8.9</v>
      </c>
      <c r="N5" t="str">
        <f t="shared" si="4"/>
        <v>5' 8.9"</v>
      </c>
      <c r="O5">
        <f t="shared" si="5"/>
        <v>364</v>
      </c>
      <c r="P5">
        <f t="shared" ref="P5:R45" si="6">_xlfn.RANK.EQ(H5,H$4:H$45)</f>
        <v>39</v>
      </c>
      <c r="Q5">
        <f t="shared" si="6"/>
        <v>16</v>
      </c>
      <c r="R5">
        <f t="shared" si="6"/>
        <v>6</v>
      </c>
      <c r="S5">
        <f>_xlfn.XLOOKUP(A5,'November 2022 Data'!$A$4:$A$48,'November 2022 Data'!$H$4:$H$48,,0)</f>
        <v>163</v>
      </c>
      <c r="T5">
        <f t="shared" ref="T5:T44" si="7">I5-S5</f>
        <v>2</v>
      </c>
      <c r="V5">
        <v>-2</v>
      </c>
      <c r="W5">
        <f t="shared" ref="W5:W23" si="8">COUNTIFS($T$4:$T$44,V5)</f>
        <v>1</v>
      </c>
    </row>
    <row r="6" spans="1:23" x14ac:dyDescent="0.35">
      <c r="A6" s="1" t="s">
        <v>109</v>
      </c>
      <c r="B6" s="1">
        <v>1</v>
      </c>
      <c r="C6" s="1" t="s">
        <v>39</v>
      </c>
      <c r="D6" s="1" t="s">
        <v>39</v>
      </c>
      <c r="E6" s="1" t="s">
        <v>31</v>
      </c>
      <c r="F6" s="1">
        <f>_xlfn.XLOOKUP(E6,'rank lookup'!$A$1:$A$21,'rank lookup'!$B$1:$B$21,,0)</f>
        <v>3</v>
      </c>
      <c r="G6" s="1"/>
      <c r="H6" s="19">
        <v>183</v>
      </c>
      <c r="I6" s="19">
        <v>163</v>
      </c>
      <c r="J6" s="5">
        <f t="shared" si="0"/>
        <v>48.672698498014277</v>
      </c>
      <c r="K6" s="4">
        <f t="shared" si="1"/>
        <v>72.047244094488192</v>
      </c>
      <c r="L6">
        <f t="shared" si="2"/>
        <v>6</v>
      </c>
      <c r="M6">
        <f t="shared" si="3"/>
        <v>0</v>
      </c>
      <c r="N6" t="str">
        <f t="shared" si="4"/>
        <v>6' 0"</v>
      </c>
      <c r="O6">
        <f t="shared" si="5"/>
        <v>359</v>
      </c>
      <c r="P6">
        <f t="shared" si="6"/>
        <v>27</v>
      </c>
      <c r="Q6">
        <f t="shared" si="6"/>
        <v>19</v>
      </c>
      <c r="R6">
        <f t="shared" si="6"/>
        <v>19</v>
      </c>
      <c r="S6">
        <f>_xlfn.XLOOKUP(A6,'November 2022 Data'!$A$4:$A$48,'November 2022 Data'!$H$4:$H$48,,0)</f>
        <v>162</v>
      </c>
      <c r="T6">
        <f t="shared" si="7"/>
        <v>1</v>
      </c>
      <c r="V6">
        <v>-1</v>
      </c>
      <c r="W6">
        <f t="shared" si="8"/>
        <v>1</v>
      </c>
    </row>
    <row r="7" spans="1:23" x14ac:dyDescent="0.35">
      <c r="A7" s="1" t="s">
        <v>114</v>
      </c>
      <c r="B7" s="1"/>
      <c r="C7" s="1" t="s">
        <v>31</v>
      </c>
      <c r="D7" s="1" t="s">
        <v>31</v>
      </c>
      <c r="E7" s="1" t="s">
        <v>31</v>
      </c>
      <c r="F7" s="1">
        <f>_xlfn.XLOOKUP(E7,'rank lookup'!$A$1:$A$21,'rank lookup'!$B$1:$B$21,,0)</f>
        <v>3</v>
      </c>
      <c r="H7" s="19">
        <v>183</v>
      </c>
      <c r="I7" s="19">
        <v>135</v>
      </c>
      <c r="J7" s="5">
        <f t="shared" si="0"/>
        <v>40.311744154797097</v>
      </c>
      <c r="K7" s="4">
        <f t="shared" si="1"/>
        <v>72.047244094488192</v>
      </c>
      <c r="L7">
        <f t="shared" si="2"/>
        <v>6</v>
      </c>
      <c r="M7">
        <f t="shared" si="3"/>
        <v>0</v>
      </c>
      <c r="N7" t="str">
        <f t="shared" si="4"/>
        <v>6' 0"</v>
      </c>
      <c r="O7">
        <f t="shared" si="5"/>
        <v>298</v>
      </c>
      <c r="P7">
        <f t="shared" si="6"/>
        <v>27</v>
      </c>
      <c r="Q7">
        <f t="shared" si="6"/>
        <v>39</v>
      </c>
      <c r="R7">
        <f t="shared" si="6"/>
        <v>41</v>
      </c>
      <c r="S7">
        <f>_xlfn.XLOOKUP(A7,'November 2022 Data'!$A$4:$A$48,'November 2022 Data'!$H$4:$H$48,,0)</f>
        <v>132</v>
      </c>
      <c r="T7">
        <f t="shared" si="7"/>
        <v>3</v>
      </c>
      <c r="V7">
        <v>0</v>
      </c>
      <c r="W7">
        <f t="shared" si="8"/>
        <v>6</v>
      </c>
    </row>
    <row r="8" spans="1:23" x14ac:dyDescent="0.35">
      <c r="A8" s="1" t="s">
        <v>95</v>
      </c>
      <c r="B8" s="1"/>
      <c r="C8" s="1" t="s">
        <v>31</v>
      </c>
      <c r="D8" s="1" t="s">
        <v>31</v>
      </c>
      <c r="E8" s="1" t="s">
        <v>31</v>
      </c>
      <c r="F8" s="1">
        <f>_xlfn.XLOOKUP(E8,'rank lookup'!$A$1:$A$21,'rank lookup'!$B$1:$B$21,,0)</f>
        <v>3</v>
      </c>
      <c r="G8" s="1"/>
      <c r="H8" s="19">
        <v>185</v>
      </c>
      <c r="I8" s="19">
        <v>146</v>
      </c>
      <c r="J8" s="5">
        <f t="shared" si="0"/>
        <v>42.658875091307529</v>
      </c>
      <c r="K8" s="4">
        <f t="shared" si="1"/>
        <v>72.834645669291348</v>
      </c>
      <c r="L8">
        <f t="shared" si="2"/>
        <v>6</v>
      </c>
      <c r="M8">
        <f t="shared" si="3"/>
        <v>0.8</v>
      </c>
      <c r="N8" t="str">
        <f t="shared" si="4"/>
        <v>6' 0.8"</v>
      </c>
      <c r="O8">
        <f t="shared" si="5"/>
        <v>322</v>
      </c>
      <c r="P8">
        <f t="shared" si="6"/>
        <v>20</v>
      </c>
      <c r="Q8">
        <f t="shared" si="6"/>
        <v>32</v>
      </c>
      <c r="R8">
        <f t="shared" si="6"/>
        <v>34</v>
      </c>
      <c r="S8">
        <f>_xlfn.XLOOKUP(A8,'November 2022 Data'!$A$4:$A$48,'November 2022 Data'!$H$4:$H$48,,0)</f>
        <v>140</v>
      </c>
      <c r="T8">
        <f t="shared" si="7"/>
        <v>6</v>
      </c>
      <c r="V8">
        <v>1</v>
      </c>
      <c r="W8">
        <f t="shared" si="8"/>
        <v>4</v>
      </c>
    </row>
    <row r="9" spans="1:23" x14ac:dyDescent="0.35">
      <c r="A9" s="1" t="s">
        <v>96</v>
      </c>
      <c r="B9" s="1"/>
      <c r="C9" s="1" t="s">
        <v>139</v>
      </c>
      <c r="D9" s="1" t="s">
        <v>132</v>
      </c>
      <c r="E9" s="1" t="s">
        <v>31</v>
      </c>
      <c r="F9" s="1">
        <f>_xlfn.XLOOKUP(E9,'rank lookup'!$A$1:$A$21,'rank lookup'!$B$1:$B$21,,0)</f>
        <v>3</v>
      </c>
      <c r="G9" s="1"/>
      <c r="H9" s="19">
        <v>186</v>
      </c>
      <c r="I9" s="19">
        <v>182</v>
      </c>
      <c r="J9" s="5">
        <f t="shared" si="0"/>
        <v>52.607237830963122</v>
      </c>
      <c r="K9" s="4">
        <f t="shared" si="1"/>
        <v>73.228346456692918</v>
      </c>
      <c r="L9">
        <f t="shared" si="2"/>
        <v>6</v>
      </c>
      <c r="M9">
        <f t="shared" si="3"/>
        <v>1.2</v>
      </c>
      <c r="N9" t="str">
        <f t="shared" si="4"/>
        <v>6' 1.2"</v>
      </c>
      <c r="O9">
        <f t="shared" si="5"/>
        <v>401</v>
      </c>
      <c r="P9">
        <f t="shared" si="6"/>
        <v>17</v>
      </c>
      <c r="Q9">
        <f t="shared" si="6"/>
        <v>5</v>
      </c>
      <c r="R9">
        <f t="shared" si="6"/>
        <v>8</v>
      </c>
      <c r="S9">
        <f>_xlfn.XLOOKUP(A9,'November 2022 Data'!$A$4:$A$48,'November 2022 Data'!$H$4:$H$48,,0)</f>
        <v>182</v>
      </c>
      <c r="T9">
        <f t="shared" si="7"/>
        <v>0</v>
      </c>
      <c r="V9">
        <v>2</v>
      </c>
      <c r="W9">
        <f t="shared" si="8"/>
        <v>3</v>
      </c>
    </row>
    <row r="10" spans="1:23" x14ac:dyDescent="0.35">
      <c r="A10" s="1" t="s">
        <v>102</v>
      </c>
      <c r="B10" s="1"/>
      <c r="C10" s="1" t="s">
        <v>42</v>
      </c>
      <c r="D10" s="1" t="s">
        <v>42</v>
      </c>
      <c r="E10" s="1" t="s">
        <v>42</v>
      </c>
      <c r="F10" s="1">
        <f>_xlfn.XLOOKUP(E10,'rank lookup'!$A$1:$A$21,'rank lookup'!$B$1:$B$21,,0)</f>
        <v>4</v>
      </c>
      <c r="G10" s="1"/>
      <c r="H10" s="19">
        <v>185</v>
      </c>
      <c r="I10" s="19">
        <v>142</v>
      </c>
      <c r="J10" s="5">
        <f t="shared" si="0"/>
        <v>41.490138787436081</v>
      </c>
      <c r="K10" s="4">
        <f t="shared" si="1"/>
        <v>72.834645669291348</v>
      </c>
      <c r="L10">
        <f t="shared" si="2"/>
        <v>6</v>
      </c>
      <c r="M10">
        <f t="shared" si="3"/>
        <v>0.8</v>
      </c>
      <c r="N10" t="str">
        <f t="shared" si="4"/>
        <v>6' 0.8"</v>
      </c>
      <c r="O10">
        <f t="shared" si="5"/>
        <v>313</v>
      </c>
      <c r="P10">
        <f t="shared" si="6"/>
        <v>20</v>
      </c>
      <c r="Q10">
        <f t="shared" si="6"/>
        <v>36</v>
      </c>
      <c r="R10">
        <f t="shared" si="6"/>
        <v>38</v>
      </c>
      <c r="S10">
        <f>_xlfn.XLOOKUP(A10,'November 2022 Data'!$A$4:$A$48,'November 2022 Data'!$H$4:$H$48,,0)</f>
        <v>138</v>
      </c>
      <c r="T10">
        <f t="shared" si="7"/>
        <v>4</v>
      </c>
      <c r="V10">
        <v>3</v>
      </c>
      <c r="W10">
        <f t="shared" si="8"/>
        <v>10</v>
      </c>
    </row>
    <row r="11" spans="1:23" x14ac:dyDescent="0.35">
      <c r="A11" s="1" t="s">
        <v>94</v>
      </c>
      <c r="B11" s="1"/>
      <c r="C11" s="1" t="s">
        <v>136</v>
      </c>
      <c r="D11" s="1" t="s">
        <v>132</v>
      </c>
      <c r="E11" s="1" t="s">
        <v>42</v>
      </c>
      <c r="F11" s="1">
        <f>_xlfn.XLOOKUP(E11,'rank lookup'!$A$1:$A$21,'rank lookup'!$B$1:$B$21,,0)</f>
        <v>4</v>
      </c>
      <c r="G11" s="1"/>
      <c r="H11" s="19">
        <v>189</v>
      </c>
      <c r="I11" s="19">
        <v>172</v>
      </c>
      <c r="J11" s="5">
        <f t="shared" si="0"/>
        <v>48.150947621847095</v>
      </c>
      <c r="K11" s="4">
        <f t="shared" si="1"/>
        <v>74.409448818897644</v>
      </c>
      <c r="L11">
        <f t="shared" si="2"/>
        <v>6</v>
      </c>
      <c r="M11">
        <f t="shared" si="3"/>
        <v>2.4</v>
      </c>
      <c r="N11" t="str">
        <f t="shared" si="4"/>
        <v>6' 2.4"</v>
      </c>
      <c r="O11">
        <f t="shared" si="5"/>
        <v>379</v>
      </c>
      <c r="P11">
        <f t="shared" si="6"/>
        <v>8</v>
      </c>
      <c r="Q11">
        <f t="shared" si="6"/>
        <v>12</v>
      </c>
      <c r="R11">
        <f t="shared" si="6"/>
        <v>21</v>
      </c>
      <c r="S11">
        <f>_xlfn.XLOOKUP(A11,'November 2022 Data'!$A$4:$A$48,'November 2022 Data'!$H$4:$H$48,,0)</f>
        <v>167</v>
      </c>
      <c r="T11">
        <f t="shared" si="7"/>
        <v>5</v>
      </c>
      <c r="V11">
        <v>4</v>
      </c>
      <c r="W11">
        <f t="shared" si="8"/>
        <v>2</v>
      </c>
    </row>
    <row r="12" spans="1:23" x14ac:dyDescent="0.35">
      <c r="A12" s="1" t="s">
        <v>117</v>
      </c>
      <c r="B12" s="1"/>
      <c r="C12" s="1" t="s">
        <v>136</v>
      </c>
      <c r="D12" s="1" t="s">
        <v>136</v>
      </c>
      <c r="E12" s="1" t="s">
        <v>42</v>
      </c>
      <c r="F12" s="1">
        <f>_xlfn.XLOOKUP(E12,'rank lookup'!$A$1:$A$21,'rank lookup'!$B$1:$B$21,,0)</f>
        <v>4</v>
      </c>
      <c r="G12" s="1"/>
      <c r="H12" s="19">
        <v>180</v>
      </c>
      <c r="I12" s="19">
        <v>158</v>
      </c>
      <c r="J12" s="5">
        <f t="shared" si="0"/>
        <v>48.76543209876543</v>
      </c>
      <c r="K12" s="4">
        <f t="shared" si="1"/>
        <v>70.866141732283467</v>
      </c>
      <c r="L12">
        <f t="shared" si="2"/>
        <v>5</v>
      </c>
      <c r="M12">
        <f t="shared" si="3"/>
        <v>10.9</v>
      </c>
      <c r="N12" t="str">
        <f t="shared" si="4"/>
        <v>5' 10.9"</v>
      </c>
      <c r="O12">
        <f t="shared" si="5"/>
        <v>348</v>
      </c>
      <c r="P12">
        <f t="shared" si="6"/>
        <v>33</v>
      </c>
      <c r="Q12">
        <f t="shared" si="6"/>
        <v>25</v>
      </c>
      <c r="R12">
        <f t="shared" si="6"/>
        <v>17</v>
      </c>
      <c r="S12">
        <f>_xlfn.XLOOKUP(A12,'November 2022 Data'!$A$4:$A$48,'November 2022 Data'!$H$4:$H$48,,0)</f>
        <v>153</v>
      </c>
      <c r="T12">
        <f t="shared" si="7"/>
        <v>5</v>
      </c>
      <c r="V12">
        <v>5</v>
      </c>
      <c r="W12">
        <f t="shared" si="8"/>
        <v>6</v>
      </c>
    </row>
    <row r="13" spans="1:23" x14ac:dyDescent="0.35">
      <c r="A13" s="1" t="s">
        <v>100</v>
      </c>
      <c r="B13" s="1"/>
      <c r="C13" s="1" t="s">
        <v>141</v>
      </c>
      <c r="D13" s="1" t="s">
        <v>139</v>
      </c>
      <c r="E13" s="1" t="s">
        <v>42</v>
      </c>
      <c r="F13" s="1">
        <f>_xlfn.XLOOKUP(E13,'rank lookup'!$A$1:$A$21,'rank lookup'!$B$1:$B$21,,0)</f>
        <v>4</v>
      </c>
      <c r="G13" s="1"/>
      <c r="H13" s="19">
        <v>186</v>
      </c>
      <c r="I13" s="19">
        <v>146</v>
      </c>
      <c r="J13" s="5">
        <f t="shared" si="0"/>
        <v>42.201410567695682</v>
      </c>
      <c r="K13" s="4">
        <f t="shared" si="1"/>
        <v>73.228346456692918</v>
      </c>
      <c r="L13">
        <f t="shared" si="2"/>
        <v>6</v>
      </c>
      <c r="M13">
        <f t="shared" si="3"/>
        <v>1.2</v>
      </c>
      <c r="N13" t="str">
        <f t="shared" si="4"/>
        <v>6' 1.2"</v>
      </c>
      <c r="O13">
        <f t="shared" si="5"/>
        <v>322</v>
      </c>
      <c r="P13">
        <f t="shared" si="6"/>
        <v>17</v>
      </c>
      <c r="Q13">
        <f t="shared" si="6"/>
        <v>32</v>
      </c>
      <c r="R13">
        <f t="shared" si="6"/>
        <v>35</v>
      </c>
      <c r="S13">
        <f>_xlfn.XLOOKUP(A13,'November 2022 Data'!$A$4:$A$48,'November 2022 Data'!$H$4:$H$48,,0)</f>
        <v>135</v>
      </c>
      <c r="T13">
        <f t="shared" si="7"/>
        <v>11</v>
      </c>
      <c r="V13">
        <v>6</v>
      </c>
      <c r="W13">
        <f t="shared" si="8"/>
        <v>1</v>
      </c>
    </row>
    <row r="14" spans="1:23" x14ac:dyDescent="0.35">
      <c r="A14" s="1" t="s">
        <v>112</v>
      </c>
      <c r="B14" s="1">
        <v>1</v>
      </c>
      <c r="C14" s="1" t="s">
        <v>31</v>
      </c>
      <c r="D14" s="1" t="s">
        <v>42</v>
      </c>
      <c r="E14" s="1" t="s">
        <v>132</v>
      </c>
      <c r="F14" s="1">
        <f>_xlfn.XLOOKUP(E14,'rank lookup'!$A$1:$A$21,'rank lookup'!$B$1:$B$21,,0)</f>
        <v>5</v>
      </c>
      <c r="G14" s="1"/>
      <c r="H14" s="19">
        <v>182</v>
      </c>
      <c r="I14" s="19">
        <v>165</v>
      </c>
      <c r="J14" s="5">
        <f t="shared" si="0"/>
        <v>49.812824538099264</v>
      </c>
      <c r="K14" s="4">
        <f t="shared" si="1"/>
        <v>71.653543307086608</v>
      </c>
      <c r="L14">
        <f t="shared" si="2"/>
        <v>5</v>
      </c>
      <c r="M14">
        <f t="shared" si="3"/>
        <v>11.7</v>
      </c>
      <c r="N14" t="str">
        <f t="shared" si="4"/>
        <v>5' 11.7"</v>
      </c>
      <c r="O14">
        <f t="shared" si="5"/>
        <v>364</v>
      </c>
      <c r="P14">
        <f t="shared" si="6"/>
        <v>31</v>
      </c>
      <c r="Q14">
        <f t="shared" si="6"/>
        <v>16</v>
      </c>
      <c r="R14">
        <f t="shared" si="6"/>
        <v>12</v>
      </c>
      <c r="S14">
        <f>_xlfn.XLOOKUP(A14,'November 2022 Data'!$A$4:$A$48,'November 2022 Data'!$H$4:$H$48,,0)</f>
        <v>161</v>
      </c>
      <c r="T14">
        <f t="shared" si="7"/>
        <v>4</v>
      </c>
      <c r="V14">
        <v>7</v>
      </c>
      <c r="W14">
        <f t="shared" si="8"/>
        <v>1</v>
      </c>
    </row>
    <row r="15" spans="1:23" x14ac:dyDescent="0.35">
      <c r="A15" s="1" t="s">
        <v>124</v>
      </c>
      <c r="B15" s="1"/>
      <c r="C15" s="1" t="s">
        <v>132</v>
      </c>
      <c r="D15" s="1" t="s">
        <v>42</v>
      </c>
      <c r="E15" s="1" t="s">
        <v>132</v>
      </c>
      <c r="F15" s="1">
        <f>_xlfn.XLOOKUP(E15,'rank lookup'!$A$1:$A$21,'rank lookup'!$B$1:$B$21,,0)</f>
        <v>5</v>
      </c>
      <c r="G15" s="1"/>
      <c r="H15" s="19">
        <v>174</v>
      </c>
      <c r="I15" s="19">
        <v>130</v>
      </c>
      <c r="J15" s="5">
        <f t="shared" si="0"/>
        <v>42.938300964460304</v>
      </c>
      <c r="K15" s="4">
        <f t="shared" si="1"/>
        <v>68.503937007874015</v>
      </c>
      <c r="L15">
        <f t="shared" si="2"/>
        <v>5</v>
      </c>
      <c r="M15">
        <f t="shared" si="3"/>
        <v>8.5</v>
      </c>
      <c r="N15" t="str">
        <f t="shared" si="4"/>
        <v>5' 8.5"</v>
      </c>
      <c r="O15">
        <f t="shared" si="5"/>
        <v>287</v>
      </c>
      <c r="P15">
        <f t="shared" si="6"/>
        <v>41</v>
      </c>
      <c r="Q15">
        <f t="shared" si="6"/>
        <v>40</v>
      </c>
      <c r="R15">
        <f t="shared" si="6"/>
        <v>33</v>
      </c>
      <c r="S15">
        <f>_xlfn.XLOOKUP(A15,'November 2022 Data'!$A$4:$A$48,'November 2022 Data'!$H$4:$H$48,,0)</f>
        <v>133</v>
      </c>
      <c r="T15">
        <f t="shared" si="7"/>
        <v>-3</v>
      </c>
      <c r="V15">
        <v>8</v>
      </c>
      <c r="W15">
        <f t="shared" si="8"/>
        <v>1</v>
      </c>
    </row>
    <row r="16" spans="1:23" x14ac:dyDescent="0.35">
      <c r="A16" s="1" t="s">
        <v>116</v>
      </c>
      <c r="B16" s="1">
        <v>2</v>
      </c>
      <c r="C16" s="1" t="s">
        <v>39</v>
      </c>
      <c r="D16" s="1" t="s">
        <v>31</v>
      </c>
      <c r="E16" s="1" t="s">
        <v>136</v>
      </c>
      <c r="F16" s="1">
        <f>_xlfn.XLOOKUP(E16,'rank lookup'!$A$1:$A$21,'rank lookup'!$B$1:$B$21,,0)</f>
        <v>6</v>
      </c>
      <c r="G16" s="1"/>
      <c r="H16" s="19">
        <v>179</v>
      </c>
      <c r="I16" s="19">
        <v>174</v>
      </c>
      <c r="J16" s="5">
        <f t="shared" si="0"/>
        <v>54.305421179114262</v>
      </c>
      <c r="K16" s="4">
        <f t="shared" si="1"/>
        <v>70.472440944881896</v>
      </c>
      <c r="L16">
        <f t="shared" si="2"/>
        <v>5</v>
      </c>
      <c r="M16">
        <f t="shared" si="3"/>
        <v>10.5</v>
      </c>
      <c r="N16" t="str">
        <f t="shared" si="4"/>
        <v>5' 10.5"</v>
      </c>
      <c r="O16">
        <f t="shared" si="5"/>
        <v>384</v>
      </c>
      <c r="P16">
        <f t="shared" si="6"/>
        <v>34</v>
      </c>
      <c r="Q16">
        <f t="shared" si="6"/>
        <v>10</v>
      </c>
      <c r="R16">
        <f t="shared" si="6"/>
        <v>4</v>
      </c>
      <c r="S16">
        <f>_xlfn.XLOOKUP(A16,'November 2022 Data'!$A$4:$A$48,'November 2022 Data'!$H$4:$H$48,,0)</f>
        <v>171</v>
      </c>
      <c r="T16">
        <f t="shared" si="7"/>
        <v>3</v>
      </c>
      <c r="V16">
        <v>9</v>
      </c>
      <c r="W16">
        <f t="shared" si="8"/>
        <v>1</v>
      </c>
    </row>
    <row r="17" spans="1:23" x14ac:dyDescent="0.35">
      <c r="A17" s="1" t="s">
        <v>92</v>
      </c>
      <c r="B17" s="1">
        <v>2</v>
      </c>
      <c r="C17" s="1" t="s">
        <v>137</v>
      </c>
      <c r="D17" s="1" t="s">
        <v>42</v>
      </c>
      <c r="E17" s="1" t="s">
        <v>136</v>
      </c>
      <c r="F17" s="1">
        <f>_xlfn.XLOOKUP(E17,'rank lookup'!$A$1:$A$21,'rank lookup'!$B$1:$B$21,,0)</f>
        <v>6</v>
      </c>
      <c r="G17" s="1"/>
      <c r="H17" s="19">
        <v>189</v>
      </c>
      <c r="I17" s="19">
        <v>174</v>
      </c>
      <c r="J17" s="5">
        <f t="shared" si="0"/>
        <v>48.710842361636011</v>
      </c>
      <c r="K17" s="4">
        <f t="shared" si="1"/>
        <v>74.409448818897644</v>
      </c>
      <c r="L17">
        <f t="shared" si="2"/>
        <v>6</v>
      </c>
      <c r="M17">
        <f t="shared" si="3"/>
        <v>2.4</v>
      </c>
      <c r="N17" t="str">
        <f t="shared" si="4"/>
        <v>6' 2.4"</v>
      </c>
      <c r="O17">
        <f t="shared" si="5"/>
        <v>384</v>
      </c>
      <c r="P17">
        <f t="shared" si="6"/>
        <v>8</v>
      </c>
      <c r="Q17">
        <f t="shared" si="6"/>
        <v>10</v>
      </c>
      <c r="R17">
        <f t="shared" si="6"/>
        <v>18</v>
      </c>
      <c r="S17">
        <f>_xlfn.XLOOKUP(A17,'November 2022 Data'!$A$4:$A$48,'November 2022 Data'!$H$4:$H$48,,0)</f>
        <v>174</v>
      </c>
      <c r="T17">
        <f t="shared" si="7"/>
        <v>0</v>
      </c>
      <c r="V17">
        <v>10</v>
      </c>
      <c r="W17">
        <f t="shared" si="8"/>
        <v>0</v>
      </c>
    </row>
    <row r="18" spans="1:23" x14ac:dyDescent="0.35">
      <c r="A18" s="1" t="s">
        <v>133</v>
      </c>
      <c r="C18" t="s">
        <v>132</v>
      </c>
      <c r="D18" s="1" t="s">
        <v>137</v>
      </c>
      <c r="E18" s="1" t="s">
        <v>137</v>
      </c>
      <c r="F18" s="1">
        <f>_xlfn.XLOOKUP(E18,'rank lookup'!$A$1:$A$21,'rank lookup'!$B$1:$B$21,,0)</f>
        <v>7</v>
      </c>
      <c r="G18" s="1"/>
      <c r="H18" s="19">
        <v>171</v>
      </c>
      <c r="I18" s="19">
        <v>117</v>
      </c>
      <c r="J18" s="5">
        <f t="shared" si="0"/>
        <v>40.012311480455523</v>
      </c>
      <c r="K18" s="4">
        <f t="shared" si="1"/>
        <v>67.322834645669289</v>
      </c>
      <c r="L18">
        <f t="shared" si="2"/>
        <v>5</v>
      </c>
      <c r="M18">
        <f t="shared" si="3"/>
        <v>7.3</v>
      </c>
      <c r="N18" t="str">
        <f t="shared" si="4"/>
        <v>5' 7.3"</v>
      </c>
      <c r="O18">
        <f t="shared" si="5"/>
        <v>258</v>
      </c>
      <c r="P18">
        <f t="shared" si="6"/>
        <v>42</v>
      </c>
      <c r="Q18">
        <f t="shared" si="6"/>
        <v>42</v>
      </c>
      <c r="R18">
        <f t="shared" si="6"/>
        <v>42</v>
      </c>
      <c r="S18">
        <f>_xlfn.XLOOKUP(A18,'November 2022 Data'!$A$4:$A$48,'November 2022 Data'!$H$4:$H$48,,0)</f>
        <v>114</v>
      </c>
      <c r="T18">
        <f t="shared" si="7"/>
        <v>3</v>
      </c>
      <c r="V18">
        <v>11</v>
      </c>
      <c r="W18">
        <f t="shared" si="8"/>
        <v>1</v>
      </c>
    </row>
    <row r="19" spans="1:23" x14ac:dyDescent="0.35">
      <c r="A19" s="1" t="s">
        <v>93</v>
      </c>
      <c r="B19" s="1">
        <v>1</v>
      </c>
      <c r="C19" s="1" t="s">
        <v>42</v>
      </c>
      <c r="D19" s="1" t="s">
        <v>143</v>
      </c>
      <c r="E19" s="1" t="s">
        <v>137</v>
      </c>
      <c r="F19" s="1">
        <f>_xlfn.XLOOKUP(E19,'rank lookup'!$A$1:$A$21,'rank lookup'!$B$1:$B$21,,0)</f>
        <v>7</v>
      </c>
      <c r="G19" s="1"/>
      <c r="H19" s="19">
        <v>187</v>
      </c>
      <c r="I19" s="19">
        <v>159</v>
      </c>
      <c r="J19" s="5">
        <f t="shared" si="0"/>
        <v>45.468843833109325</v>
      </c>
      <c r="K19" s="4">
        <f t="shared" si="1"/>
        <v>73.622047244094489</v>
      </c>
      <c r="L19">
        <f t="shared" si="2"/>
        <v>6</v>
      </c>
      <c r="M19">
        <f t="shared" si="3"/>
        <v>1.6</v>
      </c>
      <c r="N19" t="str">
        <f t="shared" si="4"/>
        <v>6' 1.6"</v>
      </c>
      <c r="O19">
        <f t="shared" si="5"/>
        <v>351</v>
      </c>
      <c r="P19">
        <f t="shared" si="6"/>
        <v>14</v>
      </c>
      <c r="Q19">
        <f t="shared" si="6"/>
        <v>24</v>
      </c>
      <c r="R19">
        <f t="shared" si="6"/>
        <v>25</v>
      </c>
      <c r="S19">
        <f>_xlfn.XLOOKUP(A19,'November 2022 Data'!$A$4:$A$48,'November 2022 Data'!$H$4:$H$48,,0)</f>
        <v>151</v>
      </c>
      <c r="T19">
        <f t="shared" si="7"/>
        <v>8</v>
      </c>
      <c r="V19">
        <v>12</v>
      </c>
      <c r="W19">
        <f t="shared" si="8"/>
        <v>0</v>
      </c>
    </row>
    <row r="20" spans="1:23" x14ac:dyDescent="0.35">
      <c r="A20" s="1" t="s">
        <v>111</v>
      </c>
      <c r="B20" s="1"/>
      <c r="C20" s="1" t="s">
        <v>140</v>
      </c>
      <c r="D20" s="1" t="s">
        <v>139</v>
      </c>
      <c r="E20" s="1" t="s">
        <v>139</v>
      </c>
      <c r="F20" s="1">
        <f>_xlfn.XLOOKUP(E20,'rank lookup'!$A$1:$A$21,'rank lookup'!$B$1:$B$21,,0)</f>
        <v>8</v>
      </c>
      <c r="G20" s="1"/>
      <c r="H20" s="19">
        <v>182</v>
      </c>
      <c r="I20" s="19">
        <v>144</v>
      </c>
      <c r="J20" s="5">
        <f t="shared" si="0"/>
        <v>43.473010505977541</v>
      </c>
      <c r="K20" s="4">
        <f t="shared" si="1"/>
        <v>71.653543307086608</v>
      </c>
      <c r="L20">
        <f t="shared" si="2"/>
        <v>5</v>
      </c>
      <c r="M20">
        <f t="shared" si="3"/>
        <v>11.7</v>
      </c>
      <c r="N20" t="str">
        <f t="shared" si="4"/>
        <v>5' 11.7"</v>
      </c>
      <c r="O20">
        <f t="shared" si="5"/>
        <v>317</v>
      </c>
      <c r="P20">
        <f t="shared" si="6"/>
        <v>31</v>
      </c>
      <c r="Q20">
        <f t="shared" si="6"/>
        <v>35</v>
      </c>
      <c r="R20">
        <f t="shared" si="6"/>
        <v>32</v>
      </c>
      <c r="S20">
        <f>_xlfn.XLOOKUP(A20,'November 2022 Data'!$A$4:$A$48,'November 2022 Data'!$H$4:$H$48,,0)</f>
        <v>141</v>
      </c>
      <c r="T20">
        <f t="shared" si="7"/>
        <v>3</v>
      </c>
      <c r="V20">
        <v>13</v>
      </c>
      <c r="W20">
        <f t="shared" si="8"/>
        <v>0</v>
      </c>
    </row>
    <row r="21" spans="1:23" x14ac:dyDescent="0.35">
      <c r="A21" t="s">
        <v>144</v>
      </c>
      <c r="C21" s="1" t="s">
        <v>145</v>
      </c>
      <c r="D21" s="1" t="s">
        <v>140</v>
      </c>
      <c r="E21" s="1" t="s">
        <v>139</v>
      </c>
      <c r="F21" s="1">
        <f>_xlfn.XLOOKUP(E21,'rank lookup'!$A$1:$A$21,'rank lookup'!$B$1:$B$21,,0)</f>
        <v>8</v>
      </c>
      <c r="G21" s="1"/>
      <c r="H21" s="19">
        <v>184</v>
      </c>
      <c r="I21" s="19">
        <v>155</v>
      </c>
      <c r="J21" s="5">
        <f t="shared" si="0"/>
        <v>45.782136105860118</v>
      </c>
      <c r="K21" s="4">
        <f t="shared" si="1"/>
        <v>72.440944881889763</v>
      </c>
      <c r="L21">
        <f t="shared" si="2"/>
        <v>6</v>
      </c>
      <c r="M21">
        <f t="shared" si="3"/>
        <v>0.4</v>
      </c>
      <c r="N21" t="str">
        <f t="shared" si="4"/>
        <v>6' 0.4"</v>
      </c>
      <c r="O21">
        <f t="shared" si="5"/>
        <v>342</v>
      </c>
      <c r="P21">
        <f t="shared" si="6"/>
        <v>22</v>
      </c>
      <c r="Q21">
        <f t="shared" si="6"/>
        <v>29</v>
      </c>
      <c r="R21">
        <f t="shared" si="6"/>
        <v>23</v>
      </c>
      <c r="S21">
        <f>_xlfn.XLOOKUP(A21,'November 2022 Data'!$A$4:$A$48,'November 2022 Data'!$H$4:$H$48,,0)</f>
        <v>148</v>
      </c>
      <c r="T21">
        <f t="shared" si="7"/>
        <v>7</v>
      </c>
      <c r="V21">
        <v>14</v>
      </c>
      <c r="W21">
        <f t="shared" si="8"/>
        <v>0</v>
      </c>
    </row>
    <row r="22" spans="1:23" x14ac:dyDescent="0.35">
      <c r="A22" s="1" t="s">
        <v>138</v>
      </c>
      <c r="C22" s="1" t="s">
        <v>139</v>
      </c>
      <c r="D22" s="1" t="s">
        <v>141</v>
      </c>
      <c r="E22" s="1" t="s">
        <v>140</v>
      </c>
      <c r="F22" s="1">
        <f>_xlfn.XLOOKUP(E22,'rank lookup'!$A$1:$A$21,'rank lookup'!$B$1:$B$21,,0)</f>
        <v>9</v>
      </c>
      <c r="G22" s="1"/>
      <c r="H22" s="19">
        <v>184</v>
      </c>
      <c r="I22" s="19">
        <v>179</v>
      </c>
      <c r="J22" s="5">
        <f t="shared" si="0"/>
        <v>52.870982986767487</v>
      </c>
      <c r="K22" s="4">
        <f t="shared" si="1"/>
        <v>72.440944881889763</v>
      </c>
      <c r="L22">
        <f t="shared" si="2"/>
        <v>6</v>
      </c>
      <c r="M22">
        <f t="shared" si="3"/>
        <v>0.4</v>
      </c>
      <c r="N22" t="str">
        <f t="shared" si="4"/>
        <v>6' 0.4"</v>
      </c>
      <c r="O22">
        <f t="shared" si="5"/>
        <v>395</v>
      </c>
      <c r="P22">
        <f t="shared" si="6"/>
        <v>22</v>
      </c>
      <c r="Q22">
        <f t="shared" si="6"/>
        <v>8</v>
      </c>
      <c r="R22">
        <f t="shared" si="6"/>
        <v>7</v>
      </c>
      <c r="S22">
        <f>_xlfn.XLOOKUP(A22,'November 2022 Data'!$A$4:$A$48,'November 2022 Data'!$H$4:$H$48,,0)</f>
        <v>170</v>
      </c>
      <c r="T22">
        <f t="shared" si="7"/>
        <v>9</v>
      </c>
      <c r="V22">
        <v>15</v>
      </c>
      <c r="W22">
        <f t="shared" si="8"/>
        <v>0</v>
      </c>
    </row>
    <row r="23" spans="1:23" x14ac:dyDescent="0.35">
      <c r="A23" t="s">
        <v>149</v>
      </c>
      <c r="C23" s="1" t="s">
        <v>148</v>
      </c>
      <c r="D23" s="1" t="s">
        <v>141</v>
      </c>
      <c r="E23" s="1" t="s">
        <v>140</v>
      </c>
      <c r="F23" s="1">
        <f>_xlfn.XLOOKUP(E23,'rank lookup'!$A$1:$A$21,'rank lookup'!$B$1:$B$21,,0)</f>
        <v>9</v>
      </c>
      <c r="G23" s="1"/>
      <c r="H23" s="20">
        <v>187</v>
      </c>
      <c r="I23" s="19">
        <v>157</v>
      </c>
      <c r="J23" s="5">
        <f t="shared" si="0"/>
        <v>44.89690869055449</v>
      </c>
      <c r="K23" s="4">
        <f t="shared" si="1"/>
        <v>73.622047244094489</v>
      </c>
      <c r="L23">
        <f t="shared" si="2"/>
        <v>6</v>
      </c>
      <c r="M23">
        <f t="shared" si="3"/>
        <v>1.6</v>
      </c>
      <c r="N23" t="str">
        <f t="shared" si="4"/>
        <v>6' 1.6"</v>
      </c>
      <c r="O23">
        <f t="shared" si="5"/>
        <v>346</v>
      </c>
      <c r="P23">
        <f t="shared" si="6"/>
        <v>14</v>
      </c>
      <c r="Q23">
        <f t="shared" si="6"/>
        <v>26</v>
      </c>
      <c r="R23">
        <f t="shared" si="6"/>
        <v>27</v>
      </c>
      <c r="S23">
        <f>_xlfn.XLOOKUP(A23,'November 2022 Data'!$A$4:$A$48,'November 2022 Data'!$H$4:$H$48,,0)</f>
        <v>154</v>
      </c>
      <c r="T23">
        <f t="shared" si="7"/>
        <v>3</v>
      </c>
      <c r="V23">
        <v>16</v>
      </c>
      <c r="W23">
        <f t="shared" si="8"/>
        <v>0</v>
      </c>
    </row>
    <row r="24" spans="1:23" x14ac:dyDescent="0.35">
      <c r="A24" s="1" t="s">
        <v>103</v>
      </c>
      <c r="B24" s="1"/>
      <c r="C24" s="1" t="s">
        <v>142</v>
      </c>
      <c r="D24" s="1" t="s">
        <v>140</v>
      </c>
      <c r="E24" s="1" t="s">
        <v>141</v>
      </c>
      <c r="F24" s="1">
        <f>_xlfn.XLOOKUP(E24,'rank lookup'!$A$1:$A$21,'rank lookup'!$B$1:$B$21,,0)</f>
        <v>10</v>
      </c>
      <c r="G24" s="1"/>
      <c r="H24" s="19">
        <v>184</v>
      </c>
      <c r="I24" s="19">
        <v>163</v>
      </c>
      <c r="J24" s="5">
        <f t="shared" si="0"/>
        <v>48.145085066162572</v>
      </c>
      <c r="K24" s="4">
        <f t="shared" si="1"/>
        <v>72.440944881889763</v>
      </c>
      <c r="L24">
        <f t="shared" si="2"/>
        <v>6</v>
      </c>
      <c r="M24">
        <f t="shared" si="3"/>
        <v>0.4</v>
      </c>
      <c r="N24" t="str">
        <f t="shared" si="4"/>
        <v>6' 0.4"</v>
      </c>
      <c r="O24">
        <f t="shared" si="5"/>
        <v>359</v>
      </c>
      <c r="P24">
        <f t="shared" si="6"/>
        <v>22</v>
      </c>
      <c r="Q24">
        <f t="shared" si="6"/>
        <v>19</v>
      </c>
      <c r="R24">
        <f t="shared" si="6"/>
        <v>22</v>
      </c>
      <c r="S24">
        <f>_xlfn.XLOOKUP(A24,'November 2022 Data'!$A$4:$A$48,'November 2022 Data'!$H$4:$H$48,,0)</f>
        <v>161</v>
      </c>
      <c r="T24">
        <f t="shared" si="7"/>
        <v>2</v>
      </c>
    </row>
    <row r="25" spans="1:23" x14ac:dyDescent="0.35">
      <c r="A25" s="1" t="s">
        <v>97</v>
      </c>
      <c r="B25" s="1"/>
      <c r="C25" s="1" t="s">
        <v>143</v>
      </c>
      <c r="D25" s="1" t="s">
        <v>135</v>
      </c>
      <c r="E25" s="1" t="s">
        <v>141</v>
      </c>
      <c r="F25" s="1">
        <f>_xlfn.XLOOKUP(E25,'rank lookup'!$A$1:$A$21,'rank lookup'!$B$1:$B$21,,0)</f>
        <v>10</v>
      </c>
      <c r="G25" s="1"/>
      <c r="H25" s="19">
        <v>189</v>
      </c>
      <c r="I25" s="19">
        <v>157</v>
      </c>
      <c r="J25" s="5">
        <f t="shared" si="0"/>
        <v>43.951737073430195</v>
      </c>
      <c r="K25" s="4">
        <f t="shared" si="1"/>
        <v>74.409448818897644</v>
      </c>
      <c r="L25">
        <f t="shared" si="2"/>
        <v>6</v>
      </c>
      <c r="M25">
        <f t="shared" si="3"/>
        <v>2.4</v>
      </c>
      <c r="N25" t="str">
        <f t="shared" si="4"/>
        <v>6' 2.4"</v>
      </c>
      <c r="O25">
        <f t="shared" si="5"/>
        <v>346</v>
      </c>
      <c r="P25">
        <f t="shared" si="6"/>
        <v>8</v>
      </c>
      <c r="Q25">
        <f t="shared" si="6"/>
        <v>26</v>
      </c>
      <c r="R25">
        <f t="shared" si="6"/>
        <v>30</v>
      </c>
      <c r="S25">
        <f>_xlfn.XLOOKUP(A25,'November 2022 Data'!$A$4:$A$48,'November 2022 Data'!$H$4:$H$48,,0)</f>
        <v>154</v>
      </c>
      <c r="T25">
        <f t="shared" si="7"/>
        <v>3</v>
      </c>
    </row>
    <row r="26" spans="1:23" x14ac:dyDescent="0.35">
      <c r="A26" s="1" t="s">
        <v>89</v>
      </c>
      <c r="B26" s="1">
        <v>1</v>
      </c>
      <c r="C26" s="1" t="s">
        <v>42</v>
      </c>
      <c r="D26" s="1" t="s">
        <v>136</v>
      </c>
      <c r="E26" s="1" t="s">
        <v>135</v>
      </c>
      <c r="F26" s="1">
        <f>_xlfn.XLOOKUP(E26,'rank lookup'!$A$1:$A$21,'rank lookup'!$B$1:$B$21,,0)</f>
        <v>11</v>
      </c>
      <c r="G26" s="1"/>
      <c r="H26" s="19">
        <v>190</v>
      </c>
      <c r="I26" s="19">
        <v>212</v>
      </c>
      <c r="J26" s="5">
        <f t="shared" si="0"/>
        <v>58.725761772853183</v>
      </c>
      <c r="K26" s="4">
        <f t="shared" si="1"/>
        <v>74.803149606299215</v>
      </c>
      <c r="L26">
        <f t="shared" si="2"/>
        <v>6</v>
      </c>
      <c r="M26">
        <f t="shared" si="3"/>
        <v>2.8</v>
      </c>
      <c r="N26" t="str">
        <f t="shared" si="4"/>
        <v>6' 2.8"</v>
      </c>
      <c r="O26">
        <f t="shared" si="5"/>
        <v>467</v>
      </c>
      <c r="P26">
        <f t="shared" si="6"/>
        <v>5</v>
      </c>
      <c r="Q26">
        <f t="shared" si="6"/>
        <v>1</v>
      </c>
      <c r="R26">
        <f t="shared" si="6"/>
        <v>2</v>
      </c>
      <c r="S26">
        <f>_xlfn.XLOOKUP(A26,'November 2022 Data'!$A$4:$A$48,'November 2022 Data'!$H$4:$H$48,,0)</f>
        <v>212</v>
      </c>
      <c r="T26">
        <f t="shared" si="7"/>
        <v>0</v>
      </c>
    </row>
    <row r="27" spans="1:23" x14ac:dyDescent="0.35">
      <c r="A27" s="1" t="s">
        <v>121</v>
      </c>
      <c r="B27" s="1"/>
      <c r="C27" s="1" t="s">
        <v>137</v>
      </c>
      <c r="D27" s="1" t="s">
        <v>137</v>
      </c>
      <c r="E27" s="1" t="s">
        <v>135</v>
      </c>
      <c r="F27" s="1">
        <f>_xlfn.XLOOKUP(E27,'rank lookup'!$A$1:$A$21,'rank lookup'!$B$1:$B$21,,0)</f>
        <v>11</v>
      </c>
      <c r="G27" s="1"/>
      <c r="H27" s="19">
        <v>175</v>
      </c>
      <c r="I27" s="19">
        <v>148</v>
      </c>
      <c r="J27" s="5">
        <f t="shared" si="0"/>
        <v>48.326530612244902</v>
      </c>
      <c r="K27" s="4">
        <f t="shared" si="1"/>
        <v>68.897637795275585</v>
      </c>
      <c r="L27">
        <f t="shared" si="2"/>
        <v>5</v>
      </c>
      <c r="M27">
        <f t="shared" si="3"/>
        <v>8.9</v>
      </c>
      <c r="N27" t="str">
        <f t="shared" si="4"/>
        <v>5' 8.9"</v>
      </c>
      <c r="O27">
        <f t="shared" si="5"/>
        <v>326</v>
      </c>
      <c r="P27">
        <f t="shared" si="6"/>
        <v>39</v>
      </c>
      <c r="Q27">
        <f t="shared" si="6"/>
        <v>31</v>
      </c>
      <c r="R27">
        <f t="shared" si="6"/>
        <v>20</v>
      </c>
      <c r="S27">
        <f>_xlfn.XLOOKUP(A27,'November 2022 Data'!$A$4:$A$48,'November 2022 Data'!$H$4:$H$48,,0)</f>
        <v>151</v>
      </c>
      <c r="T27">
        <f t="shared" si="7"/>
        <v>-3</v>
      </c>
    </row>
    <row r="28" spans="1:23" x14ac:dyDescent="0.35">
      <c r="A28" s="1" t="s">
        <v>120</v>
      </c>
      <c r="B28" s="1"/>
      <c r="C28" s="1" t="s">
        <v>135</v>
      </c>
      <c r="D28" s="1" t="s">
        <v>147</v>
      </c>
      <c r="E28" s="1" t="s">
        <v>142</v>
      </c>
      <c r="F28" s="1">
        <f>_xlfn.XLOOKUP(E28,'rank lookup'!$A$1:$A$21,'rank lookup'!$B$1:$B$21,,0)</f>
        <v>12</v>
      </c>
      <c r="G28" s="1"/>
      <c r="H28" s="19">
        <v>178</v>
      </c>
      <c r="I28" s="19">
        <v>165</v>
      </c>
      <c r="J28" s="5">
        <f t="shared" si="0"/>
        <v>52.076757985102894</v>
      </c>
      <c r="K28" s="4">
        <f t="shared" si="1"/>
        <v>70.078740157480311</v>
      </c>
      <c r="L28">
        <f t="shared" si="2"/>
        <v>5</v>
      </c>
      <c r="M28">
        <f t="shared" si="3"/>
        <v>10.1</v>
      </c>
      <c r="N28" t="str">
        <f t="shared" si="4"/>
        <v>5' 10.1"</v>
      </c>
      <c r="O28">
        <f t="shared" si="5"/>
        <v>364</v>
      </c>
      <c r="P28">
        <f t="shared" si="6"/>
        <v>35</v>
      </c>
      <c r="Q28">
        <f t="shared" si="6"/>
        <v>16</v>
      </c>
      <c r="R28">
        <f t="shared" si="6"/>
        <v>9</v>
      </c>
      <c r="S28">
        <f>_xlfn.XLOOKUP(A28,'November 2022 Data'!$A$4:$A$48,'November 2022 Data'!$H$4:$H$48,,0)</f>
        <v>162</v>
      </c>
      <c r="T28">
        <f t="shared" si="7"/>
        <v>3</v>
      </c>
    </row>
    <row r="29" spans="1:23" x14ac:dyDescent="0.35">
      <c r="A29" s="1" t="s">
        <v>88</v>
      </c>
      <c r="B29" s="1"/>
      <c r="C29" s="1" t="s">
        <v>150</v>
      </c>
      <c r="D29" s="1" t="s">
        <v>150</v>
      </c>
      <c r="E29" s="1" t="s">
        <v>142</v>
      </c>
      <c r="F29" s="1">
        <f>_xlfn.XLOOKUP(E29,'rank lookup'!$A$1:$A$21,'rank lookup'!$B$1:$B$21,,0)</f>
        <v>12</v>
      </c>
      <c r="G29" s="1"/>
      <c r="H29" s="19">
        <v>189</v>
      </c>
      <c r="I29" s="19">
        <v>179</v>
      </c>
      <c r="J29" s="5">
        <f t="shared" si="0"/>
        <v>50.110579211108309</v>
      </c>
      <c r="K29" s="4">
        <f t="shared" si="1"/>
        <v>74.409448818897644</v>
      </c>
      <c r="L29">
        <f t="shared" si="2"/>
        <v>6</v>
      </c>
      <c r="M29">
        <f t="shared" si="3"/>
        <v>2.4</v>
      </c>
      <c r="N29" t="str">
        <f t="shared" si="4"/>
        <v>6' 2.4"</v>
      </c>
      <c r="O29">
        <f t="shared" si="5"/>
        <v>395</v>
      </c>
      <c r="P29">
        <f t="shared" si="6"/>
        <v>8</v>
      </c>
      <c r="Q29">
        <f t="shared" si="6"/>
        <v>8</v>
      </c>
      <c r="R29">
        <f t="shared" si="6"/>
        <v>11</v>
      </c>
      <c r="S29">
        <f>_xlfn.XLOOKUP(A29,'November 2022 Data'!$A$4:$A$48,'November 2022 Data'!$H$4:$H$48,,0)</f>
        <v>176</v>
      </c>
      <c r="T29">
        <f t="shared" si="7"/>
        <v>3</v>
      </c>
    </row>
    <row r="30" spans="1:23" x14ac:dyDescent="0.35">
      <c r="A30" s="1" t="s">
        <v>99</v>
      </c>
      <c r="B30" s="1"/>
      <c r="C30" s="1" t="s">
        <v>141</v>
      </c>
      <c r="D30" s="1" t="s">
        <v>135</v>
      </c>
      <c r="E30" s="1" t="s">
        <v>143</v>
      </c>
      <c r="F30" s="1">
        <f>_xlfn.XLOOKUP(E30,'rank lookup'!$A$1:$A$21,'rank lookup'!$B$1:$B$21,,0)</f>
        <v>13</v>
      </c>
      <c r="G30" s="1"/>
      <c r="H30" s="19">
        <v>183</v>
      </c>
      <c r="I30" s="19">
        <v>150</v>
      </c>
      <c r="J30" s="5">
        <f t="shared" si="0"/>
        <v>44.790826838663442</v>
      </c>
      <c r="K30" s="4">
        <f t="shared" si="1"/>
        <v>72.047244094488192</v>
      </c>
      <c r="L30">
        <f t="shared" si="2"/>
        <v>6</v>
      </c>
      <c r="M30">
        <f t="shared" si="3"/>
        <v>0</v>
      </c>
      <c r="N30" t="str">
        <f t="shared" si="4"/>
        <v>6' 0"</v>
      </c>
      <c r="O30">
        <f t="shared" si="5"/>
        <v>331</v>
      </c>
      <c r="P30">
        <f t="shared" si="6"/>
        <v>27</v>
      </c>
      <c r="Q30">
        <f t="shared" si="6"/>
        <v>30</v>
      </c>
      <c r="R30">
        <f t="shared" si="6"/>
        <v>28</v>
      </c>
      <c r="S30">
        <f>_xlfn.XLOOKUP(A30,'November 2022 Data'!$A$4:$A$48,'November 2022 Data'!$H$4:$H$48,,0)</f>
        <v>149</v>
      </c>
      <c r="T30">
        <f t="shared" si="7"/>
        <v>1</v>
      </c>
    </row>
    <row r="31" spans="1:23" x14ac:dyDescent="0.35">
      <c r="A31" s="1" t="s">
        <v>101</v>
      </c>
      <c r="B31" s="1"/>
      <c r="C31" s="1" t="s">
        <v>145</v>
      </c>
      <c r="D31" s="1" t="s">
        <v>143</v>
      </c>
      <c r="E31" s="1" t="s">
        <v>143</v>
      </c>
      <c r="F31" s="1">
        <f>_xlfn.XLOOKUP(E31,'rank lookup'!$A$1:$A$21,'rank lookup'!$B$1:$B$21,,0)</f>
        <v>13</v>
      </c>
      <c r="G31" s="1"/>
      <c r="H31" s="19">
        <v>184</v>
      </c>
      <c r="I31" s="19">
        <v>167</v>
      </c>
      <c r="J31" s="5">
        <f t="shared" si="0"/>
        <v>49.326559546313803</v>
      </c>
      <c r="K31" s="4">
        <f t="shared" si="1"/>
        <v>72.440944881889763</v>
      </c>
      <c r="L31">
        <f t="shared" si="2"/>
        <v>6</v>
      </c>
      <c r="M31">
        <f t="shared" si="3"/>
        <v>0.4</v>
      </c>
      <c r="N31" t="str">
        <f t="shared" si="4"/>
        <v>6' 0.4"</v>
      </c>
      <c r="O31">
        <f t="shared" si="5"/>
        <v>368</v>
      </c>
      <c r="P31">
        <f t="shared" si="6"/>
        <v>22</v>
      </c>
      <c r="Q31">
        <f t="shared" si="6"/>
        <v>15</v>
      </c>
      <c r="R31">
        <f t="shared" si="6"/>
        <v>15</v>
      </c>
      <c r="S31">
        <f>_xlfn.XLOOKUP(A31,'November 2022 Data'!$A$4:$A$48,'November 2022 Data'!$H$4:$H$48,,0)</f>
        <v>167</v>
      </c>
      <c r="T31">
        <f t="shared" si="7"/>
        <v>0</v>
      </c>
    </row>
    <row r="32" spans="1:23" x14ac:dyDescent="0.35">
      <c r="A32" s="1" t="s">
        <v>91</v>
      </c>
      <c r="B32" s="1"/>
      <c r="C32" s="1" t="s">
        <v>135</v>
      </c>
      <c r="D32" s="1" t="s">
        <v>145</v>
      </c>
      <c r="E32" s="1" t="s">
        <v>145</v>
      </c>
      <c r="F32" s="1">
        <f>_xlfn.XLOOKUP(E32,'rank lookup'!$A$1:$A$21,'rank lookup'!$B$1:$B$21,,0)</f>
        <v>14</v>
      </c>
      <c r="G32" s="1"/>
      <c r="H32" s="19">
        <v>190</v>
      </c>
      <c r="I32" s="19">
        <v>184</v>
      </c>
      <c r="J32" s="5">
        <f t="shared" si="0"/>
        <v>50.969529085872573</v>
      </c>
      <c r="K32" s="4">
        <f t="shared" si="1"/>
        <v>74.803149606299215</v>
      </c>
      <c r="L32">
        <f t="shared" si="2"/>
        <v>6</v>
      </c>
      <c r="M32">
        <f t="shared" si="3"/>
        <v>2.8</v>
      </c>
      <c r="N32" t="str">
        <f t="shared" si="4"/>
        <v>6' 2.8"</v>
      </c>
      <c r="O32">
        <f t="shared" si="5"/>
        <v>406</v>
      </c>
      <c r="P32">
        <f t="shared" si="6"/>
        <v>5</v>
      </c>
      <c r="Q32">
        <f t="shared" si="6"/>
        <v>4</v>
      </c>
      <c r="R32">
        <f t="shared" si="6"/>
        <v>10</v>
      </c>
      <c r="S32">
        <f>_xlfn.XLOOKUP(A32,'November 2022 Data'!$A$4:$A$48,'November 2022 Data'!$H$4:$H$48,,0)</f>
        <v>186</v>
      </c>
      <c r="T32">
        <f t="shared" si="7"/>
        <v>-2</v>
      </c>
    </row>
    <row r="33" spans="1:20" x14ac:dyDescent="0.35">
      <c r="A33" t="s">
        <v>155</v>
      </c>
      <c r="C33" s="1" t="s">
        <v>154</v>
      </c>
      <c r="D33" s="1" t="s">
        <v>154</v>
      </c>
      <c r="E33" s="1" t="s">
        <v>145</v>
      </c>
      <c r="F33" s="1">
        <f>_xlfn.XLOOKUP(E33,'rank lookup'!$A$1:$A$21,'rank lookup'!$B$1:$B$21,,0)</f>
        <v>14</v>
      </c>
      <c r="G33" s="1"/>
      <c r="H33" s="19">
        <v>178</v>
      </c>
      <c r="I33" s="19">
        <v>138</v>
      </c>
      <c r="J33" s="5">
        <f t="shared" si="0"/>
        <v>43.555106678449697</v>
      </c>
      <c r="K33" s="4">
        <f t="shared" si="1"/>
        <v>70.078740157480311</v>
      </c>
      <c r="L33">
        <f t="shared" si="2"/>
        <v>5</v>
      </c>
      <c r="M33">
        <f t="shared" si="3"/>
        <v>10.1</v>
      </c>
      <c r="N33" t="str">
        <f t="shared" si="4"/>
        <v>5' 10.1"</v>
      </c>
      <c r="O33">
        <f t="shared" si="5"/>
        <v>304</v>
      </c>
      <c r="P33">
        <f t="shared" si="6"/>
        <v>35</v>
      </c>
      <c r="Q33">
        <f t="shared" si="6"/>
        <v>37</v>
      </c>
      <c r="R33">
        <f t="shared" si="6"/>
        <v>31</v>
      </c>
      <c r="S33">
        <f>_xlfn.XLOOKUP(A33,'November 2022 Data'!$A$4:$A$48,'November 2022 Data'!$H$4:$H$48,,0)</f>
        <v>135</v>
      </c>
      <c r="T33">
        <f t="shared" si="7"/>
        <v>3</v>
      </c>
    </row>
    <row r="34" spans="1:20" x14ac:dyDescent="0.35">
      <c r="A34" s="1" t="s">
        <v>87</v>
      </c>
      <c r="B34" s="1">
        <v>1</v>
      </c>
      <c r="C34" s="1" t="s">
        <v>142</v>
      </c>
      <c r="D34" s="1" t="s">
        <v>142</v>
      </c>
      <c r="E34" s="1" t="s">
        <v>147</v>
      </c>
      <c r="F34" s="1">
        <f>_xlfn.XLOOKUP(E34,'rank lookup'!$A$1:$A$21,'rank lookup'!$B$1:$B$21,,0)</f>
        <v>15</v>
      </c>
      <c r="G34" s="1"/>
      <c r="H34" s="19">
        <v>192</v>
      </c>
      <c r="I34" s="19">
        <v>182</v>
      </c>
      <c r="J34" s="5">
        <f t="shared" si="0"/>
        <v>49.370659722222221</v>
      </c>
      <c r="K34" s="4">
        <f t="shared" si="1"/>
        <v>75.59055118110237</v>
      </c>
      <c r="L34">
        <f t="shared" si="2"/>
        <v>6</v>
      </c>
      <c r="M34">
        <f t="shared" si="3"/>
        <v>3.6</v>
      </c>
      <c r="N34" t="str">
        <f t="shared" si="4"/>
        <v>6' 3.6"</v>
      </c>
      <c r="O34">
        <f t="shared" si="5"/>
        <v>401</v>
      </c>
      <c r="P34">
        <f t="shared" si="6"/>
        <v>2</v>
      </c>
      <c r="Q34">
        <f t="shared" si="6"/>
        <v>5</v>
      </c>
      <c r="R34">
        <f t="shared" si="6"/>
        <v>14</v>
      </c>
      <c r="S34">
        <f>_xlfn.XLOOKUP(A34,'November 2022 Data'!$A$4:$A$48,'November 2022 Data'!$H$4:$H$48,,0)</f>
        <v>179</v>
      </c>
      <c r="T34">
        <f t="shared" si="7"/>
        <v>3</v>
      </c>
    </row>
    <row r="35" spans="1:20" x14ac:dyDescent="0.35">
      <c r="A35" s="1" t="s">
        <v>110</v>
      </c>
      <c r="B35" s="1"/>
      <c r="C35" s="1" t="s">
        <v>151</v>
      </c>
      <c r="D35" s="1" t="s">
        <v>145</v>
      </c>
      <c r="E35" s="1" t="s">
        <v>147</v>
      </c>
      <c r="F35" s="1">
        <f>_xlfn.XLOOKUP(E35,'rank lookup'!$A$1:$A$21,'rank lookup'!$B$1:$B$21,,0)</f>
        <v>15</v>
      </c>
      <c r="G35" s="1"/>
      <c r="H35" s="19">
        <v>183</v>
      </c>
      <c r="I35" s="19">
        <v>137</v>
      </c>
      <c r="J35" s="5">
        <f t="shared" si="0"/>
        <v>40.908955179312613</v>
      </c>
      <c r="K35" s="4">
        <f t="shared" si="1"/>
        <v>72.047244094488192</v>
      </c>
      <c r="L35">
        <f t="shared" si="2"/>
        <v>6</v>
      </c>
      <c r="M35">
        <f t="shared" si="3"/>
        <v>0</v>
      </c>
      <c r="N35" t="str">
        <f t="shared" si="4"/>
        <v>6' 0"</v>
      </c>
      <c r="O35">
        <f t="shared" si="5"/>
        <v>302</v>
      </c>
      <c r="P35">
        <f t="shared" si="6"/>
        <v>27</v>
      </c>
      <c r="Q35">
        <f t="shared" si="6"/>
        <v>38</v>
      </c>
      <c r="R35">
        <f t="shared" si="6"/>
        <v>40</v>
      </c>
      <c r="S35">
        <f>_xlfn.XLOOKUP(A35,'November 2022 Data'!$A$4:$A$48,'November 2022 Data'!$H$4:$H$48,,0)</f>
        <v>135</v>
      </c>
      <c r="T35">
        <f t="shared" si="7"/>
        <v>2</v>
      </c>
    </row>
    <row r="36" spans="1:20" x14ac:dyDescent="0.35">
      <c r="A36" s="1" t="s">
        <v>90</v>
      </c>
      <c r="B36" s="1"/>
      <c r="C36" s="1" t="s">
        <v>148</v>
      </c>
      <c r="D36" s="1" t="s">
        <v>150</v>
      </c>
      <c r="E36" s="1" t="s">
        <v>148</v>
      </c>
      <c r="F36" s="1">
        <f>_xlfn.XLOOKUP(E36,'rank lookup'!$A$1:$A$21,'rank lookup'!$B$1:$B$21,,0)</f>
        <v>16</v>
      </c>
      <c r="G36" s="1"/>
      <c r="H36" s="19">
        <v>189</v>
      </c>
      <c r="I36" s="19">
        <v>161</v>
      </c>
      <c r="J36" s="5">
        <f t="shared" si="0"/>
        <v>45.071526553008034</v>
      </c>
      <c r="K36" s="4">
        <f t="shared" si="1"/>
        <v>74.409448818897644</v>
      </c>
      <c r="L36">
        <f t="shared" si="2"/>
        <v>6</v>
      </c>
      <c r="M36">
        <f t="shared" si="3"/>
        <v>2.4</v>
      </c>
      <c r="N36" t="str">
        <f t="shared" si="4"/>
        <v>6' 2.4"</v>
      </c>
      <c r="O36">
        <f t="shared" si="5"/>
        <v>355</v>
      </c>
      <c r="P36">
        <f t="shared" si="6"/>
        <v>8</v>
      </c>
      <c r="Q36">
        <f t="shared" si="6"/>
        <v>23</v>
      </c>
      <c r="R36">
        <f t="shared" si="6"/>
        <v>26</v>
      </c>
      <c r="S36">
        <f>_xlfn.XLOOKUP(A36,'November 2022 Data'!$A$4:$A$48,'November 2022 Data'!$H$4:$H$48,,0)</f>
        <v>156</v>
      </c>
      <c r="T36">
        <f t="shared" si="7"/>
        <v>5</v>
      </c>
    </row>
    <row r="37" spans="1:20" x14ac:dyDescent="0.35">
      <c r="A37" s="1" t="s">
        <v>167</v>
      </c>
      <c r="D37" t="s">
        <v>152</v>
      </c>
      <c r="E37" t="s">
        <v>148</v>
      </c>
      <c r="F37" s="1">
        <f>_xlfn.XLOOKUP(E37,'rank lookup'!$A$1:$A$21,'rank lookup'!$B$1:$B$21,,0)</f>
        <v>16</v>
      </c>
      <c r="H37" s="19">
        <v>193</v>
      </c>
      <c r="I37" s="19">
        <v>156</v>
      </c>
      <c r="J37" s="5">
        <f t="shared" si="0"/>
        <v>41.880318934736501</v>
      </c>
      <c r="K37" s="4">
        <f t="shared" si="1"/>
        <v>75.984251968503941</v>
      </c>
      <c r="L37">
        <f t="shared" si="2"/>
        <v>6</v>
      </c>
      <c r="M37">
        <f t="shared" si="3"/>
        <v>4</v>
      </c>
      <c r="N37" t="str">
        <f t="shared" si="4"/>
        <v>6' 4"</v>
      </c>
      <c r="O37">
        <f t="shared" si="5"/>
        <v>344</v>
      </c>
      <c r="P37">
        <f t="shared" si="6"/>
        <v>1</v>
      </c>
      <c r="Q37">
        <f t="shared" si="6"/>
        <v>28</v>
      </c>
      <c r="R37">
        <f t="shared" si="6"/>
        <v>36</v>
      </c>
      <c r="S37">
        <f>_xlfn.XLOOKUP(A37,'November 2022 Data'!$A$4:$A$48,'November 2022 Data'!$H$4:$H$48,,0)</f>
        <v>155</v>
      </c>
      <c r="T37">
        <f t="shared" si="7"/>
        <v>1</v>
      </c>
    </row>
    <row r="38" spans="1:20" x14ac:dyDescent="0.35">
      <c r="A38" t="s">
        <v>146</v>
      </c>
      <c r="C38" s="1" t="s">
        <v>147</v>
      </c>
      <c r="D38" s="1" t="s">
        <v>147</v>
      </c>
      <c r="E38" s="1" t="s">
        <v>150</v>
      </c>
      <c r="F38" s="1">
        <f>_xlfn.XLOOKUP(E38,'rank lookup'!$A$1:$A$21,'rank lookup'!$B$1:$B$21,,0)</f>
        <v>17</v>
      </c>
      <c r="G38" s="1"/>
      <c r="H38" s="19">
        <v>189</v>
      </c>
      <c r="I38" s="19">
        <v>163</v>
      </c>
      <c r="J38" s="5">
        <f t="shared" si="0"/>
        <v>45.631421292796958</v>
      </c>
      <c r="K38" s="4">
        <f t="shared" si="1"/>
        <v>74.409448818897644</v>
      </c>
      <c r="L38">
        <f t="shared" si="2"/>
        <v>6</v>
      </c>
      <c r="M38">
        <f t="shared" si="3"/>
        <v>2.4</v>
      </c>
      <c r="N38" t="str">
        <f t="shared" si="4"/>
        <v>6' 2.4"</v>
      </c>
      <c r="O38">
        <f t="shared" si="5"/>
        <v>359</v>
      </c>
      <c r="P38">
        <f t="shared" si="6"/>
        <v>8</v>
      </c>
      <c r="Q38">
        <f t="shared" si="6"/>
        <v>19</v>
      </c>
      <c r="R38">
        <f t="shared" si="6"/>
        <v>24</v>
      </c>
      <c r="S38">
        <f>_xlfn.XLOOKUP(A38,'November 2022 Data'!$A$4:$A$48,'November 2022 Data'!$H$4:$H$48,,0)</f>
        <v>158</v>
      </c>
      <c r="T38">
        <f t="shared" si="7"/>
        <v>5</v>
      </c>
    </row>
    <row r="39" spans="1:20" x14ac:dyDescent="0.35">
      <c r="A39" s="1" t="s">
        <v>122</v>
      </c>
      <c r="B39" s="1"/>
      <c r="C39" s="1" t="s">
        <v>143</v>
      </c>
      <c r="D39" s="1" t="s">
        <v>148</v>
      </c>
      <c r="E39" s="1" t="s">
        <v>150</v>
      </c>
      <c r="F39" s="1">
        <f>_xlfn.XLOOKUP(E39,'rank lookup'!$A$1:$A$21,'rank lookup'!$B$1:$B$21,,0)</f>
        <v>17</v>
      </c>
      <c r="G39" s="1"/>
      <c r="H39" s="19">
        <v>176</v>
      </c>
      <c r="I39" s="19">
        <v>128</v>
      </c>
      <c r="J39" s="5">
        <f t="shared" si="0"/>
        <v>41.32231404958678</v>
      </c>
      <c r="K39" s="4">
        <f t="shared" si="1"/>
        <v>69.29133858267717</v>
      </c>
      <c r="L39">
        <f t="shared" si="2"/>
        <v>5</v>
      </c>
      <c r="M39">
        <f t="shared" si="3"/>
        <v>9.3000000000000007</v>
      </c>
      <c r="N39" t="str">
        <f t="shared" si="4"/>
        <v>5' 9.3"</v>
      </c>
      <c r="O39">
        <f t="shared" si="5"/>
        <v>282</v>
      </c>
      <c r="P39">
        <f t="shared" si="6"/>
        <v>38</v>
      </c>
      <c r="Q39">
        <f t="shared" si="6"/>
        <v>41</v>
      </c>
      <c r="R39">
        <f t="shared" si="6"/>
        <v>39</v>
      </c>
      <c r="S39">
        <f>_xlfn.XLOOKUP(A39,'November 2022 Data'!$A$4:$A$48,'November 2022 Data'!$H$4:$H$48,,0)</f>
        <v>131</v>
      </c>
      <c r="T39">
        <f t="shared" si="7"/>
        <v>-3</v>
      </c>
    </row>
    <row r="40" spans="1:20" x14ac:dyDescent="0.35">
      <c r="A40" s="1" t="s">
        <v>98</v>
      </c>
      <c r="B40" s="1"/>
      <c r="C40" s="1" t="s">
        <v>150</v>
      </c>
      <c r="D40" s="1" t="s">
        <v>151</v>
      </c>
      <c r="E40" s="1" t="s">
        <v>151</v>
      </c>
      <c r="F40" s="1">
        <f>_xlfn.XLOOKUP(E40,'rank lookup'!$A$1:$A$21,'rank lookup'!$B$1:$B$21,,0)</f>
        <v>18</v>
      </c>
      <c r="G40" s="1"/>
      <c r="H40" s="19">
        <v>187</v>
      </c>
      <c r="I40" s="19">
        <v>146</v>
      </c>
      <c r="J40" s="5">
        <f t="shared" si="0"/>
        <v>41.751265406502903</v>
      </c>
      <c r="K40" s="4">
        <f t="shared" si="1"/>
        <v>73.622047244094489</v>
      </c>
      <c r="L40">
        <f t="shared" si="2"/>
        <v>6</v>
      </c>
      <c r="M40">
        <f t="shared" si="3"/>
        <v>1.6</v>
      </c>
      <c r="N40" t="str">
        <f t="shared" si="4"/>
        <v>6' 1.6"</v>
      </c>
      <c r="O40">
        <f t="shared" si="5"/>
        <v>322</v>
      </c>
      <c r="P40">
        <f t="shared" si="6"/>
        <v>14</v>
      </c>
      <c r="Q40">
        <f t="shared" si="6"/>
        <v>32</v>
      </c>
      <c r="R40">
        <f t="shared" si="6"/>
        <v>37</v>
      </c>
      <c r="S40">
        <f>_xlfn.XLOOKUP(A40,'November 2022 Data'!$A$4:$A$48,'November 2022 Data'!$H$4:$H$48,,0)</f>
        <v>145</v>
      </c>
      <c r="T40">
        <f t="shared" si="7"/>
        <v>1</v>
      </c>
    </row>
    <row r="41" spans="1:20" x14ac:dyDescent="0.35">
      <c r="A41" s="1" t="s">
        <v>166</v>
      </c>
      <c r="D41" t="s">
        <v>151</v>
      </c>
      <c r="E41" s="1" t="s">
        <v>151</v>
      </c>
      <c r="F41" s="1">
        <f>_xlfn.XLOOKUP(E41,'rank lookup'!$A$1:$A$21,'rank lookup'!$B$1:$B$21,,0)</f>
        <v>18</v>
      </c>
      <c r="H41" s="19">
        <v>191</v>
      </c>
      <c r="I41" s="19">
        <v>162</v>
      </c>
      <c r="J41" s="5">
        <f t="shared" si="0"/>
        <v>44.40667744853485</v>
      </c>
      <c r="K41" s="4">
        <f t="shared" si="1"/>
        <v>75.196850393700785</v>
      </c>
      <c r="L41">
        <f t="shared" si="2"/>
        <v>6</v>
      </c>
      <c r="M41">
        <f t="shared" si="3"/>
        <v>3.2</v>
      </c>
      <c r="N41" t="str">
        <f t="shared" si="4"/>
        <v>6' 3.2"</v>
      </c>
      <c r="O41">
        <f t="shared" si="5"/>
        <v>357</v>
      </c>
      <c r="P41">
        <f t="shared" si="6"/>
        <v>4</v>
      </c>
      <c r="Q41">
        <f t="shared" si="6"/>
        <v>22</v>
      </c>
      <c r="R41">
        <f t="shared" si="6"/>
        <v>29</v>
      </c>
      <c r="S41">
        <f>_xlfn.XLOOKUP(A41,'November 2022 Data'!$A$4:$A$48,'November 2022 Data'!$H$4:$H$48,,0)</f>
        <v>157</v>
      </c>
      <c r="T41">
        <f t="shared" si="7"/>
        <v>5</v>
      </c>
    </row>
    <row r="42" spans="1:20" x14ac:dyDescent="0.35">
      <c r="A42" s="1" t="s">
        <v>108</v>
      </c>
      <c r="B42" s="1"/>
      <c r="C42" s="1" t="s">
        <v>152</v>
      </c>
      <c r="D42" s="1" t="s">
        <v>170</v>
      </c>
      <c r="E42" s="1" t="s">
        <v>152</v>
      </c>
      <c r="F42" s="1">
        <f>_xlfn.XLOOKUP(E42,'rank lookup'!$A$1:$A$21,'rank lookup'!$B$1:$B$21,,0)</f>
        <v>19</v>
      </c>
      <c r="G42" s="1"/>
      <c r="H42" s="19">
        <v>184</v>
      </c>
      <c r="I42" s="19">
        <v>200</v>
      </c>
      <c r="J42" s="5">
        <f t="shared" si="0"/>
        <v>59.073724007561438</v>
      </c>
      <c r="K42" s="4">
        <f t="shared" si="1"/>
        <v>72.440944881889763</v>
      </c>
      <c r="L42">
        <f t="shared" si="2"/>
        <v>6</v>
      </c>
      <c r="M42">
        <f t="shared" si="3"/>
        <v>0.4</v>
      </c>
      <c r="N42" t="str">
        <f t="shared" si="4"/>
        <v>6' 0.4"</v>
      </c>
      <c r="O42">
        <f t="shared" si="5"/>
        <v>441</v>
      </c>
      <c r="P42">
        <f t="shared" si="6"/>
        <v>22</v>
      </c>
      <c r="Q42">
        <f t="shared" si="6"/>
        <v>2</v>
      </c>
      <c r="R42">
        <f t="shared" si="6"/>
        <v>1</v>
      </c>
      <c r="S42">
        <f>_xlfn.XLOOKUP(A42,'November 2022 Data'!$A$4:$A$48,'November 2022 Data'!$H$4:$H$48,,0)</f>
        <v>200</v>
      </c>
      <c r="T42">
        <f t="shared" si="7"/>
        <v>0</v>
      </c>
    </row>
    <row r="43" spans="1:20" x14ac:dyDescent="0.35">
      <c r="A43" t="s">
        <v>153</v>
      </c>
      <c r="C43" s="1" t="s">
        <v>154</v>
      </c>
      <c r="D43" s="1" t="s">
        <v>170</v>
      </c>
      <c r="E43" s="1" t="s">
        <v>152</v>
      </c>
      <c r="F43" s="1">
        <f>_xlfn.XLOOKUP(E43,'rank lookup'!$A$1:$A$21,'rank lookup'!$B$1:$B$21,,0)</f>
        <v>19</v>
      </c>
      <c r="G43" s="1"/>
      <c r="H43" s="19">
        <v>190</v>
      </c>
      <c r="I43" s="19">
        <v>197</v>
      </c>
      <c r="J43" s="5">
        <f t="shared" si="0"/>
        <v>54.57063711911357</v>
      </c>
      <c r="K43" s="4">
        <f t="shared" si="1"/>
        <v>74.803149606299215</v>
      </c>
      <c r="L43">
        <f t="shared" si="2"/>
        <v>6</v>
      </c>
      <c r="M43">
        <f t="shared" si="3"/>
        <v>2.8</v>
      </c>
      <c r="N43" t="str">
        <f t="shared" si="4"/>
        <v>6' 2.8"</v>
      </c>
      <c r="O43">
        <f t="shared" si="5"/>
        <v>434</v>
      </c>
      <c r="P43">
        <f t="shared" si="6"/>
        <v>5</v>
      </c>
      <c r="Q43">
        <f t="shared" si="6"/>
        <v>3</v>
      </c>
      <c r="R43">
        <f t="shared" si="6"/>
        <v>3</v>
      </c>
      <c r="S43">
        <f>_xlfn.XLOOKUP(A43,'November 2022 Data'!$A$4:$A$48,'November 2022 Data'!$H$4:$H$48,,0)</f>
        <v>197</v>
      </c>
      <c r="T43">
        <f t="shared" si="7"/>
        <v>0</v>
      </c>
    </row>
    <row r="44" spans="1:20" x14ac:dyDescent="0.35">
      <c r="A44" s="1" t="s">
        <v>104</v>
      </c>
      <c r="B44" s="1"/>
      <c r="C44" s="1" t="s">
        <v>140</v>
      </c>
      <c r="D44" s="1" t="s">
        <v>142</v>
      </c>
      <c r="E44" s="1" t="s">
        <v>154</v>
      </c>
      <c r="F44" s="1">
        <f>_xlfn.XLOOKUP(E44,'rank lookup'!$A$1:$A$21,'rank lookup'!$B$1:$B$21,,0)</f>
        <v>20</v>
      </c>
      <c r="G44" s="1"/>
      <c r="H44" s="19">
        <v>186</v>
      </c>
      <c r="I44" s="19">
        <v>171</v>
      </c>
      <c r="J44" s="5">
        <f t="shared" si="0"/>
        <v>49.427679500520291</v>
      </c>
      <c r="K44" s="4">
        <f t="shared" si="1"/>
        <v>73.228346456692918</v>
      </c>
      <c r="L44">
        <f t="shared" si="2"/>
        <v>6</v>
      </c>
      <c r="M44">
        <f t="shared" si="3"/>
        <v>1.2</v>
      </c>
      <c r="N44" t="str">
        <f t="shared" si="4"/>
        <v>6' 1.2"</v>
      </c>
      <c r="O44">
        <f t="shared" si="5"/>
        <v>377</v>
      </c>
      <c r="P44">
        <f t="shared" si="6"/>
        <v>17</v>
      </c>
      <c r="Q44">
        <f t="shared" si="6"/>
        <v>13</v>
      </c>
      <c r="R44">
        <f t="shared" si="6"/>
        <v>13</v>
      </c>
      <c r="S44">
        <f>_xlfn.XLOOKUP(A44,'November 2022 Data'!$A$4:$A$48,'November 2022 Data'!$H$4:$H$48,,0)</f>
        <v>166</v>
      </c>
      <c r="T44">
        <f t="shared" si="7"/>
        <v>5</v>
      </c>
    </row>
    <row r="45" spans="1:20" x14ac:dyDescent="0.35">
      <c r="A45" t="s">
        <v>119</v>
      </c>
      <c r="E45" s="1" t="s">
        <v>154</v>
      </c>
      <c r="F45" s="1">
        <f>_xlfn.XLOOKUP(E45,'rank lookup'!$A$1:$A$21,'rank lookup'!$B$1:$B$21,,0)</f>
        <v>20</v>
      </c>
      <c r="H45" s="19">
        <v>177</v>
      </c>
      <c r="I45" s="19">
        <v>169</v>
      </c>
      <c r="J45" s="5">
        <f t="shared" si="0"/>
        <v>53.943630502090713</v>
      </c>
      <c r="K45" s="4">
        <f t="shared" si="1"/>
        <v>69.685039370078741</v>
      </c>
      <c r="L45">
        <f t="shared" si="2"/>
        <v>5</v>
      </c>
      <c r="M45">
        <f t="shared" si="3"/>
        <v>9.6999999999999993</v>
      </c>
      <c r="N45" t="str">
        <f t="shared" si="4"/>
        <v>5' 9.7"</v>
      </c>
      <c r="O45">
        <f t="shared" si="5"/>
        <v>373</v>
      </c>
      <c r="P45">
        <f t="shared" si="6"/>
        <v>37</v>
      </c>
      <c r="Q45">
        <f t="shared" si="6"/>
        <v>14</v>
      </c>
      <c r="R45">
        <f t="shared" si="6"/>
        <v>5</v>
      </c>
    </row>
    <row r="46" spans="1:20" x14ac:dyDescent="0.35">
      <c r="A46" s="1" t="s">
        <v>113</v>
      </c>
      <c r="B46" s="1"/>
      <c r="C46" s="1" t="s">
        <v>147</v>
      </c>
      <c r="D46" s="1" t="s">
        <v>148</v>
      </c>
      <c r="E46" s="1" t="s">
        <v>179</v>
      </c>
      <c r="F46" s="1" t="e">
        <f>_xlfn.XLOOKUP(E46,'rank lookup'!$A$1:$A$21,'rank lookup'!$B$1:$B$21,,0)</f>
        <v>#N/A</v>
      </c>
      <c r="G46" s="1"/>
      <c r="H46" s="19">
        <v>181</v>
      </c>
      <c r="I46" s="19">
        <v>189</v>
      </c>
      <c r="J46" s="5">
        <f t="shared" si="0"/>
        <v>57.690546686609082</v>
      </c>
      <c r="K46" s="4">
        <f t="shared" si="1"/>
        <v>71.259842519685037</v>
      </c>
      <c r="L46">
        <f t="shared" si="2"/>
        <v>5</v>
      </c>
      <c r="M46">
        <f t="shared" si="3"/>
        <v>11.3</v>
      </c>
      <c r="N46" t="str">
        <f t="shared" si="4"/>
        <v>5' 11.3"</v>
      </c>
      <c r="O46">
        <f t="shared" si="5"/>
        <v>417</v>
      </c>
    </row>
    <row r="47" spans="1:20" x14ac:dyDescent="0.35">
      <c r="A47" s="1" t="s">
        <v>168</v>
      </c>
      <c r="D47" t="s">
        <v>152</v>
      </c>
      <c r="E47" s="1" t="s">
        <v>170</v>
      </c>
      <c r="F47" s="1" t="e">
        <f>_xlfn.XLOOKUP(E47,'rank lookup'!$A$1:$A$21,'rank lookup'!$B$1:$B$21,,0)</f>
        <v>#N/A</v>
      </c>
      <c r="H47" s="19">
        <v>185</v>
      </c>
      <c r="I47" s="19">
        <v>177</v>
      </c>
      <c r="J47" s="5">
        <f t="shared" si="0"/>
        <v>51.716581446311181</v>
      </c>
      <c r="K47" s="4">
        <f t="shared" si="1"/>
        <v>72.834645669291348</v>
      </c>
      <c r="L47">
        <f t="shared" si="2"/>
        <v>6</v>
      </c>
      <c r="M47">
        <f t="shared" si="3"/>
        <v>0.8</v>
      </c>
      <c r="N47" t="str">
        <f t="shared" si="4"/>
        <v>6' 0.8"</v>
      </c>
      <c r="O47">
        <f t="shared" si="5"/>
        <v>390</v>
      </c>
    </row>
    <row r="48" spans="1:20" x14ac:dyDescent="0.35">
      <c r="A48" s="1" t="s">
        <v>126</v>
      </c>
      <c r="B48" s="1"/>
      <c r="C48" s="1" t="s">
        <v>152</v>
      </c>
      <c r="D48" s="1" t="s">
        <v>154</v>
      </c>
      <c r="E48" s="1" t="s">
        <v>180</v>
      </c>
      <c r="F48" s="1" t="e">
        <f>_xlfn.XLOOKUP(E48,'rank lookup'!$A$1:$A$21,'rank lookup'!$B$1:$B$21,,0)</f>
        <v>#N/A</v>
      </c>
      <c r="G48" s="1"/>
      <c r="H48" s="19">
        <v>169</v>
      </c>
      <c r="I48" s="19">
        <v>107</v>
      </c>
      <c r="J48" s="5">
        <f t="shared" si="0"/>
        <v>37.463674241098005</v>
      </c>
      <c r="K48" s="4">
        <f t="shared" si="1"/>
        <v>66.535433070866134</v>
      </c>
      <c r="L48">
        <f t="shared" si="2"/>
        <v>5</v>
      </c>
      <c r="M48">
        <f t="shared" si="3"/>
        <v>6.5</v>
      </c>
      <c r="N48" t="str">
        <f t="shared" si="4"/>
        <v>5' 6.5"</v>
      </c>
      <c r="O48">
        <f t="shared" si="5"/>
        <v>236</v>
      </c>
    </row>
    <row r="49" spans="1:15" x14ac:dyDescent="0.35">
      <c r="A49" s="1" t="s">
        <v>107</v>
      </c>
      <c r="B49" s="1"/>
      <c r="C49" s="1" t="s">
        <v>151</v>
      </c>
      <c r="D49" s="1" t="s">
        <v>169</v>
      </c>
      <c r="E49" s="1" t="s">
        <v>179</v>
      </c>
      <c r="F49" s="1" t="e">
        <f>_xlfn.XLOOKUP(E49,'rank lookup'!$A$1:$A$21,'rank lookup'!$B$1:$B$21,,0)</f>
        <v>#N/A</v>
      </c>
      <c r="G49" s="1"/>
      <c r="H49" s="19">
        <v>185</v>
      </c>
      <c r="I49" s="19">
        <v>181</v>
      </c>
      <c r="J49" s="5">
        <f t="shared" si="0"/>
        <v>52.885317750182615</v>
      </c>
      <c r="K49" s="4">
        <f t="shared" si="1"/>
        <v>72.834645669291348</v>
      </c>
      <c r="L49">
        <f t="shared" si="2"/>
        <v>6</v>
      </c>
      <c r="M49">
        <f t="shared" si="3"/>
        <v>0.8</v>
      </c>
      <c r="N49" t="str">
        <f t="shared" si="4"/>
        <v>6' 0.8"</v>
      </c>
      <c r="O49">
        <f t="shared" si="5"/>
        <v>399</v>
      </c>
    </row>
  </sheetData>
  <autoFilter ref="A3:O38" xr:uid="{7067DD38-AD06-4250-9520-A2F29B57D9C0}">
    <sortState xmlns:xlrd2="http://schemas.microsoft.com/office/spreadsheetml/2017/richdata2" ref="A4:O49">
      <sortCondition ref="F3:F38"/>
    </sortState>
  </autoFilter>
  <hyperlinks>
    <hyperlink ref="C2" r:id="rId1" xr:uid="{56B2D7DA-A872-4581-8686-C2C72C36CD2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zoomScale="106" zoomScaleNormal="106" workbookViewId="0">
      <pane xSplit="1" ySplit="3" topLeftCell="B18" activePane="bottomRight" state="frozen"/>
      <selection pane="topRight" activeCell="B1" sqref="B1"/>
      <selection pane="bottomLeft" activeCell="A4" sqref="A4"/>
      <selection pane="bottomRight" activeCell="J19" sqref="J19"/>
    </sheetView>
  </sheetViews>
  <sheetFormatPr defaultRowHeight="14.5" x14ac:dyDescent="0.35"/>
  <cols>
    <col min="1" max="6" width="21.1796875" customWidth="1"/>
    <col min="9" max="9" width="11.26953125" bestFit="1" customWidth="1"/>
    <col min="10" max="10" width="8.7265625" style="4"/>
    <col min="17" max="17" width="9.54296875" customWidth="1"/>
  </cols>
  <sheetData>
    <row r="1" spans="1:19" x14ac:dyDescent="0.35">
      <c r="C1" t="s">
        <v>174</v>
      </c>
    </row>
    <row r="2" spans="1:19" x14ac:dyDescent="0.35">
      <c r="C2" s="17" t="s">
        <v>162</v>
      </c>
      <c r="D2" s="17"/>
      <c r="O2">
        <f>MAX(O4:O45)</f>
        <v>42</v>
      </c>
      <c r="P2">
        <f>MAX(P4:P45)</f>
        <v>42</v>
      </c>
      <c r="Q2">
        <f>MAX(Q4:Q45)</f>
        <v>42</v>
      </c>
    </row>
    <row r="3" spans="1:19" x14ac:dyDescent="0.35">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x14ac:dyDescent="0.35">
      <c r="A4" s="1" t="s">
        <v>86</v>
      </c>
      <c r="B4" s="1">
        <v>7</v>
      </c>
      <c r="C4" s="1" t="s">
        <v>14</v>
      </c>
      <c r="D4" s="1" t="s">
        <v>14</v>
      </c>
      <c r="E4" s="1">
        <f>_xlfn.XLOOKUP(D4,'rank lookup'!$A$1:$A$21,'rank lookup'!$B$1:$B$21,,0)</f>
        <v>1</v>
      </c>
      <c r="F4" s="1" t="s">
        <v>165</v>
      </c>
      <c r="G4" s="19">
        <v>192</v>
      </c>
      <c r="H4" s="19">
        <v>181</v>
      </c>
      <c r="I4" s="5">
        <f t="shared" ref="I4:I41" si="0">H4/(G4*G4)*10000</f>
        <v>49.099392361111107</v>
      </c>
      <c r="J4" s="4">
        <f t="shared" ref="J4:J41" si="1">CONVERT(G4,"cm","in")</f>
        <v>75.59055118110237</v>
      </c>
      <c r="K4">
        <f t="shared" ref="K4:K41" si="2">_xlfn.FLOOR.MATH(J4/12)</f>
        <v>6</v>
      </c>
      <c r="L4">
        <f t="shared" ref="L4:L41" si="3">ROUND(J4-K4*12,1)</f>
        <v>3.6</v>
      </c>
      <c r="M4" t="str">
        <f t="shared" ref="M4:M41" si="4">K4&amp;"' "&amp;L4&amp;""""</f>
        <v>6' 3.6"</v>
      </c>
      <c r="N4">
        <f t="shared" ref="N4:N41" si="5">ROUND(CONVERT(H4,"kg","lbm"),0)</f>
        <v>399</v>
      </c>
      <c r="O4">
        <f>_xlfn.RANK.EQ(G4,G$4:G$45)</f>
        <v>2</v>
      </c>
      <c r="P4">
        <f>_xlfn.RANK.EQ(H4,H$4:H$45)</f>
        <v>5</v>
      </c>
      <c r="Q4">
        <f>_xlfn.RANK.EQ(I4,I$4:I$45)</f>
        <v>13</v>
      </c>
    </row>
    <row r="5" spans="1:19" x14ac:dyDescent="0.35">
      <c r="A5" s="1" t="s">
        <v>123</v>
      </c>
      <c r="B5" s="1">
        <v>2</v>
      </c>
      <c r="C5" s="1" t="s">
        <v>39</v>
      </c>
      <c r="D5" s="1" t="s">
        <v>39</v>
      </c>
      <c r="E5" s="1">
        <f>_xlfn.XLOOKUP(D5,'rank lookup'!$A$1:$A$21,'rank lookup'!$B$1:$B$21,,0)</f>
        <v>2</v>
      </c>
      <c r="F5" s="1"/>
      <c r="G5" s="19">
        <v>175</v>
      </c>
      <c r="H5" s="19">
        <v>163</v>
      </c>
      <c r="I5" s="5">
        <f t="shared" si="0"/>
        <v>53.224489795918366</v>
      </c>
      <c r="J5" s="4">
        <f t="shared" si="1"/>
        <v>68.897637795275585</v>
      </c>
      <c r="K5">
        <f t="shared" si="2"/>
        <v>5</v>
      </c>
      <c r="L5">
        <f t="shared" si="3"/>
        <v>8.9</v>
      </c>
      <c r="M5" t="str">
        <f t="shared" si="4"/>
        <v>5' 8.9"</v>
      </c>
      <c r="N5">
        <f t="shared" si="5"/>
        <v>359</v>
      </c>
      <c r="O5">
        <f t="shared" ref="O5:Q45" si="6">_xlfn.RANK.EQ(G5,G$4:G$45)</f>
        <v>38</v>
      </c>
      <c r="P5">
        <f t="shared" si="6"/>
        <v>15</v>
      </c>
      <c r="Q5">
        <f t="shared" si="6"/>
        <v>4</v>
      </c>
    </row>
    <row r="6" spans="1:19" x14ac:dyDescent="0.35">
      <c r="A6" s="1" t="s">
        <v>109</v>
      </c>
      <c r="B6" s="1">
        <v>1</v>
      </c>
      <c r="C6" s="1" t="s">
        <v>39</v>
      </c>
      <c r="D6" s="1" t="s">
        <v>39</v>
      </c>
      <c r="E6" s="1">
        <f>_xlfn.XLOOKUP(D6,'rank lookup'!$A$1:$A$21,'rank lookup'!$B$1:$B$21,,0)</f>
        <v>2</v>
      </c>
      <c r="F6" s="1"/>
      <c r="G6" s="19">
        <v>183</v>
      </c>
      <c r="H6" s="19">
        <v>162</v>
      </c>
      <c r="I6" s="5">
        <f t="shared" si="0"/>
        <v>48.374092985756519</v>
      </c>
      <c r="J6" s="4">
        <f t="shared" si="1"/>
        <v>72.047244094488192</v>
      </c>
      <c r="K6">
        <f t="shared" si="2"/>
        <v>6</v>
      </c>
      <c r="L6">
        <f t="shared" si="3"/>
        <v>0</v>
      </c>
      <c r="M6" t="str">
        <f t="shared" si="4"/>
        <v>6' 0"</v>
      </c>
      <c r="N6">
        <f t="shared" si="5"/>
        <v>357</v>
      </c>
      <c r="O6">
        <f t="shared" si="6"/>
        <v>26</v>
      </c>
      <c r="P6">
        <f t="shared" si="6"/>
        <v>16</v>
      </c>
      <c r="Q6">
        <f t="shared" si="6"/>
        <v>17</v>
      </c>
    </row>
    <row r="7" spans="1:19" x14ac:dyDescent="0.35">
      <c r="A7" s="1" t="s">
        <v>116</v>
      </c>
      <c r="B7" s="1">
        <v>2</v>
      </c>
      <c r="C7" s="1" t="s">
        <v>39</v>
      </c>
      <c r="D7" s="1" t="s">
        <v>31</v>
      </c>
      <c r="E7" s="1">
        <f>_xlfn.XLOOKUP(D7,'rank lookup'!$A$1:$A$21,'rank lookup'!$B$1:$B$21,,0)</f>
        <v>3</v>
      </c>
      <c r="F7" s="1"/>
      <c r="G7" s="19">
        <v>179</v>
      </c>
      <c r="H7" s="19">
        <v>171</v>
      </c>
      <c r="I7" s="5">
        <f t="shared" si="0"/>
        <v>53.369120813957117</v>
      </c>
      <c r="J7" s="4">
        <f t="shared" si="1"/>
        <v>70.472440944881896</v>
      </c>
      <c r="K7">
        <f t="shared" si="2"/>
        <v>5</v>
      </c>
      <c r="L7">
        <f t="shared" si="3"/>
        <v>10.5</v>
      </c>
      <c r="M7" t="str">
        <f t="shared" si="4"/>
        <v>5' 10.5"</v>
      </c>
      <c r="N7">
        <f t="shared" si="5"/>
        <v>377</v>
      </c>
      <c r="O7">
        <f t="shared" si="6"/>
        <v>34</v>
      </c>
      <c r="P7">
        <f t="shared" si="6"/>
        <v>10</v>
      </c>
      <c r="Q7">
        <f t="shared" si="6"/>
        <v>3</v>
      </c>
    </row>
    <row r="8" spans="1:19" x14ac:dyDescent="0.35">
      <c r="A8" s="1" t="s">
        <v>114</v>
      </c>
      <c r="B8" s="1"/>
      <c r="C8" s="1" t="s">
        <v>31</v>
      </c>
      <c r="D8" s="1" t="s">
        <v>31</v>
      </c>
      <c r="E8" s="1">
        <f>_xlfn.XLOOKUP(D8,'rank lookup'!$A$1:$A$21,'rank lookup'!$B$1:$B$21,,0)</f>
        <v>3</v>
      </c>
      <c r="F8" s="1"/>
      <c r="G8" s="19">
        <v>183</v>
      </c>
      <c r="H8" s="19">
        <v>132</v>
      </c>
      <c r="I8" s="5">
        <f t="shared" si="0"/>
        <v>39.415927618023829</v>
      </c>
      <c r="J8" s="4">
        <f t="shared" si="1"/>
        <v>72.047244094488192</v>
      </c>
      <c r="K8">
        <f t="shared" si="2"/>
        <v>6</v>
      </c>
      <c r="L8">
        <f t="shared" si="3"/>
        <v>0</v>
      </c>
      <c r="M8" t="str">
        <f t="shared" si="4"/>
        <v>6' 0"</v>
      </c>
      <c r="N8">
        <f t="shared" si="5"/>
        <v>291</v>
      </c>
      <c r="O8">
        <f t="shared" si="6"/>
        <v>26</v>
      </c>
      <c r="P8">
        <f t="shared" si="6"/>
        <v>39</v>
      </c>
      <c r="Q8">
        <f t="shared" si="6"/>
        <v>39</v>
      </c>
    </row>
    <row r="9" spans="1:19" x14ac:dyDescent="0.35">
      <c r="A9" s="1" t="s">
        <v>95</v>
      </c>
      <c r="B9" s="1"/>
      <c r="C9" s="1" t="s">
        <v>31</v>
      </c>
      <c r="D9" s="1" t="s">
        <v>31</v>
      </c>
      <c r="E9" s="1">
        <f>_xlfn.XLOOKUP(D9,'rank lookup'!$A$1:$A$21,'rank lookup'!$B$1:$B$21,,0)</f>
        <v>3</v>
      </c>
      <c r="F9" s="1"/>
      <c r="G9" s="19">
        <v>185</v>
      </c>
      <c r="H9" s="19">
        <v>140</v>
      </c>
      <c r="I9" s="5">
        <f t="shared" si="0"/>
        <v>40.905770635500367</v>
      </c>
      <c r="J9" s="4">
        <f t="shared" si="1"/>
        <v>72.834645669291348</v>
      </c>
      <c r="K9">
        <f t="shared" si="2"/>
        <v>6</v>
      </c>
      <c r="L9">
        <f t="shared" si="3"/>
        <v>0.8</v>
      </c>
      <c r="M9" t="str">
        <f t="shared" si="4"/>
        <v>6' 0.8"</v>
      </c>
      <c r="N9">
        <f t="shared" si="5"/>
        <v>309</v>
      </c>
      <c r="O9">
        <f t="shared" si="6"/>
        <v>19</v>
      </c>
      <c r="P9">
        <f t="shared" si="6"/>
        <v>33</v>
      </c>
      <c r="Q9">
        <f t="shared" si="6"/>
        <v>36</v>
      </c>
    </row>
    <row r="10" spans="1:19" x14ac:dyDescent="0.35">
      <c r="A10" s="1" t="s">
        <v>112</v>
      </c>
      <c r="B10" s="1">
        <v>1</v>
      </c>
      <c r="C10" s="1" t="s">
        <v>31</v>
      </c>
      <c r="D10" s="1" t="s">
        <v>42</v>
      </c>
      <c r="E10" s="1">
        <f>_xlfn.XLOOKUP(D10,'rank lookup'!$A$1:$A$21,'rank lookup'!$B$1:$B$21,,0)</f>
        <v>4</v>
      </c>
      <c r="F10" s="1"/>
      <c r="G10" s="19">
        <v>182</v>
      </c>
      <c r="H10" s="19">
        <v>161</v>
      </c>
      <c r="I10" s="5">
        <f t="shared" si="0"/>
        <v>48.605240912933226</v>
      </c>
      <c r="J10" s="4">
        <f t="shared" si="1"/>
        <v>71.653543307086608</v>
      </c>
      <c r="K10">
        <f t="shared" si="2"/>
        <v>5</v>
      </c>
      <c r="L10">
        <f t="shared" si="3"/>
        <v>11.7</v>
      </c>
      <c r="M10" t="str">
        <f t="shared" si="4"/>
        <v>5' 11.7"</v>
      </c>
      <c r="N10">
        <f t="shared" si="5"/>
        <v>355</v>
      </c>
      <c r="O10">
        <f t="shared" si="6"/>
        <v>30</v>
      </c>
      <c r="P10">
        <f t="shared" si="6"/>
        <v>18</v>
      </c>
      <c r="Q10">
        <f t="shared" si="6"/>
        <v>15</v>
      </c>
    </row>
    <row r="11" spans="1:19" x14ac:dyDescent="0.35">
      <c r="A11" s="1" t="s">
        <v>102</v>
      </c>
      <c r="B11" s="1"/>
      <c r="C11" s="1" t="s">
        <v>42</v>
      </c>
      <c r="D11" s="1" t="s">
        <v>42</v>
      </c>
      <c r="E11" s="1">
        <f>_xlfn.XLOOKUP(D11,'rank lookup'!$A$1:$A$21,'rank lookup'!$B$1:$B$21,,0)</f>
        <v>4</v>
      </c>
      <c r="F11" s="1"/>
      <c r="G11" s="19">
        <v>185</v>
      </c>
      <c r="H11" s="19">
        <v>138</v>
      </c>
      <c r="I11" s="5">
        <f t="shared" si="0"/>
        <v>40.321402483564647</v>
      </c>
      <c r="J11" s="4">
        <f t="shared" si="1"/>
        <v>72.834645669291348</v>
      </c>
      <c r="K11">
        <f t="shared" si="2"/>
        <v>6</v>
      </c>
      <c r="L11">
        <f t="shared" si="3"/>
        <v>0.8</v>
      </c>
      <c r="M11" t="str">
        <f t="shared" si="4"/>
        <v>6' 0.8"</v>
      </c>
      <c r="N11">
        <f t="shared" si="5"/>
        <v>304</v>
      </c>
      <c r="O11">
        <f t="shared" si="6"/>
        <v>19</v>
      </c>
      <c r="P11">
        <f t="shared" si="6"/>
        <v>34</v>
      </c>
      <c r="Q11">
        <f t="shared" si="6"/>
        <v>37</v>
      </c>
    </row>
    <row r="12" spans="1:19" x14ac:dyDescent="0.35">
      <c r="A12" s="1" t="s">
        <v>124</v>
      </c>
      <c r="B12" s="1"/>
      <c r="C12" s="1" t="s">
        <v>132</v>
      </c>
      <c r="D12" s="1" t="s">
        <v>42</v>
      </c>
      <c r="E12" s="1">
        <f>_xlfn.XLOOKUP(D12,'rank lookup'!$A$1:$A$21,'rank lookup'!$B$1:$B$21,,0)</f>
        <v>4</v>
      </c>
      <c r="F12" s="1"/>
      <c r="G12" s="19">
        <v>174</v>
      </c>
      <c r="H12" s="19">
        <v>133</v>
      </c>
      <c r="I12" s="5">
        <f t="shared" si="0"/>
        <v>43.929184832870916</v>
      </c>
      <c r="J12" s="4">
        <f t="shared" si="1"/>
        <v>68.503937007874015</v>
      </c>
      <c r="K12">
        <f t="shared" si="2"/>
        <v>5</v>
      </c>
      <c r="L12">
        <f t="shared" si="3"/>
        <v>8.5</v>
      </c>
      <c r="M12" t="str">
        <f t="shared" si="4"/>
        <v>5' 8.5"</v>
      </c>
      <c r="N12">
        <f t="shared" si="5"/>
        <v>293</v>
      </c>
      <c r="O12">
        <f t="shared" si="6"/>
        <v>40</v>
      </c>
      <c r="P12">
        <f t="shared" si="6"/>
        <v>38</v>
      </c>
      <c r="Q12">
        <f t="shared" si="6"/>
        <v>25</v>
      </c>
    </row>
    <row r="13" spans="1:19" x14ac:dyDescent="0.35">
      <c r="A13" s="1" t="s">
        <v>92</v>
      </c>
      <c r="B13" s="1">
        <v>2</v>
      </c>
      <c r="C13" s="1" t="s">
        <v>137</v>
      </c>
      <c r="D13" s="1" t="s">
        <v>42</v>
      </c>
      <c r="E13" s="1">
        <f>_xlfn.XLOOKUP(D13,'rank lookup'!$A$1:$A$21,'rank lookup'!$B$1:$B$21,,0)</f>
        <v>4</v>
      </c>
      <c r="F13" s="1"/>
      <c r="G13" s="19">
        <v>189</v>
      </c>
      <c r="H13" s="19">
        <v>174</v>
      </c>
      <c r="I13" s="5">
        <f t="shared" si="0"/>
        <v>48.710842361636011</v>
      </c>
      <c r="J13" s="4">
        <f t="shared" si="1"/>
        <v>74.409448818897644</v>
      </c>
      <c r="K13">
        <f t="shared" si="2"/>
        <v>6</v>
      </c>
      <c r="L13">
        <f t="shared" si="3"/>
        <v>2.4</v>
      </c>
      <c r="M13" t="str">
        <f t="shared" si="4"/>
        <v>6' 2.4"</v>
      </c>
      <c r="N13">
        <f t="shared" si="5"/>
        <v>384</v>
      </c>
      <c r="O13">
        <f t="shared" si="6"/>
        <v>7</v>
      </c>
      <c r="P13">
        <f t="shared" si="6"/>
        <v>9</v>
      </c>
      <c r="Q13">
        <f t="shared" si="6"/>
        <v>14</v>
      </c>
    </row>
    <row r="14" spans="1:19" x14ac:dyDescent="0.35">
      <c r="A14" s="1" t="s">
        <v>94</v>
      </c>
      <c r="B14" s="1"/>
      <c r="C14" s="1" t="s">
        <v>136</v>
      </c>
      <c r="D14" s="1" t="s">
        <v>132</v>
      </c>
      <c r="E14" s="1">
        <f>_xlfn.XLOOKUP(D14,'rank lookup'!$A$1:$A$21,'rank lookup'!$B$1:$B$21,,0)</f>
        <v>5</v>
      </c>
      <c r="F14" s="1"/>
      <c r="G14" s="19">
        <v>189</v>
      </c>
      <c r="H14" s="19">
        <v>167</v>
      </c>
      <c r="I14" s="5">
        <f t="shared" si="0"/>
        <v>46.751210772374797</v>
      </c>
      <c r="J14" s="4">
        <f t="shared" si="1"/>
        <v>74.409448818897644</v>
      </c>
      <c r="K14">
        <f t="shared" si="2"/>
        <v>6</v>
      </c>
      <c r="L14">
        <f t="shared" si="3"/>
        <v>2.4</v>
      </c>
      <c r="M14" t="str">
        <f t="shared" si="4"/>
        <v>6' 2.4"</v>
      </c>
      <c r="N14">
        <f t="shared" si="5"/>
        <v>368</v>
      </c>
      <c r="O14">
        <f t="shared" si="6"/>
        <v>7</v>
      </c>
      <c r="P14">
        <f t="shared" si="6"/>
        <v>12</v>
      </c>
      <c r="Q14">
        <f t="shared" si="6"/>
        <v>21</v>
      </c>
    </row>
    <row r="15" spans="1:19" x14ac:dyDescent="0.35">
      <c r="A15" s="1" t="s">
        <v>96</v>
      </c>
      <c r="B15" s="1"/>
      <c r="C15" s="1" t="s">
        <v>139</v>
      </c>
      <c r="D15" s="1" t="s">
        <v>132</v>
      </c>
      <c r="E15" s="1">
        <f>_xlfn.XLOOKUP(D15,'rank lookup'!$A$1:$A$21,'rank lookup'!$B$1:$B$21,,0)</f>
        <v>5</v>
      </c>
      <c r="F15" s="1"/>
      <c r="G15" s="19">
        <v>186</v>
      </c>
      <c r="H15" s="19">
        <v>182</v>
      </c>
      <c r="I15" s="5">
        <f t="shared" si="0"/>
        <v>52.607237830963122</v>
      </c>
      <c r="J15" s="4">
        <f t="shared" si="1"/>
        <v>73.228346456692918</v>
      </c>
      <c r="K15">
        <f t="shared" si="2"/>
        <v>6</v>
      </c>
      <c r="L15">
        <f t="shared" si="3"/>
        <v>1.2</v>
      </c>
      <c r="M15" t="str">
        <f t="shared" si="4"/>
        <v>6' 1.2"</v>
      </c>
      <c r="N15">
        <f t="shared" si="5"/>
        <v>401</v>
      </c>
      <c r="O15">
        <f t="shared" si="6"/>
        <v>16</v>
      </c>
      <c r="P15">
        <f t="shared" si="6"/>
        <v>4</v>
      </c>
      <c r="Q15">
        <f t="shared" si="6"/>
        <v>5</v>
      </c>
    </row>
    <row r="16" spans="1:19" x14ac:dyDescent="0.35">
      <c r="A16" s="1" t="s">
        <v>89</v>
      </c>
      <c r="B16" s="1">
        <v>1</v>
      </c>
      <c r="C16" s="1" t="s">
        <v>42</v>
      </c>
      <c r="D16" s="1" t="s">
        <v>136</v>
      </c>
      <c r="E16" s="1">
        <f>_xlfn.XLOOKUP(D16,'rank lookup'!$A$1:$A$21,'rank lookup'!$B$1:$B$21,,0)</f>
        <v>6</v>
      </c>
      <c r="F16" s="1"/>
      <c r="G16" s="19">
        <v>190</v>
      </c>
      <c r="H16" s="19">
        <v>212</v>
      </c>
      <c r="I16" s="5">
        <f t="shared" si="0"/>
        <v>58.725761772853183</v>
      </c>
      <c r="J16" s="4">
        <f t="shared" si="1"/>
        <v>74.803149606299215</v>
      </c>
      <c r="K16">
        <f t="shared" si="2"/>
        <v>6</v>
      </c>
      <c r="L16">
        <f t="shared" si="3"/>
        <v>2.8</v>
      </c>
      <c r="M16" t="str">
        <f t="shared" si="4"/>
        <v>6' 2.8"</v>
      </c>
      <c r="N16">
        <f t="shared" si="5"/>
        <v>467</v>
      </c>
      <c r="O16">
        <f t="shared" si="6"/>
        <v>5</v>
      </c>
      <c r="P16">
        <f t="shared" si="6"/>
        <v>1</v>
      </c>
      <c r="Q16">
        <f t="shared" si="6"/>
        <v>1</v>
      </c>
    </row>
    <row r="17" spans="1:17" x14ac:dyDescent="0.35">
      <c r="A17" s="1" t="s">
        <v>117</v>
      </c>
      <c r="B17" s="1"/>
      <c r="C17" s="1" t="s">
        <v>136</v>
      </c>
      <c r="D17" s="1" t="s">
        <v>136</v>
      </c>
      <c r="E17" s="1">
        <f>_xlfn.XLOOKUP(D17,'rank lookup'!$A$1:$A$21,'rank lookup'!$B$1:$B$21,,0)</f>
        <v>6</v>
      </c>
      <c r="F17" s="1"/>
      <c r="G17" s="19">
        <v>180</v>
      </c>
      <c r="H17" s="19">
        <v>153</v>
      </c>
      <c r="I17" s="5">
        <f t="shared" si="0"/>
        <v>47.222222222222221</v>
      </c>
      <c r="J17" s="4">
        <f t="shared" si="1"/>
        <v>70.866141732283467</v>
      </c>
      <c r="K17">
        <f t="shared" si="2"/>
        <v>5</v>
      </c>
      <c r="L17">
        <f t="shared" si="3"/>
        <v>10.9</v>
      </c>
      <c r="M17" t="str">
        <f t="shared" si="4"/>
        <v>5' 10.9"</v>
      </c>
      <c r="N17">
        <f t="shared" si="5"/>
        <v>337</v>
      </c>
      <c r="O17">
        <f t="shared" si="6"/>
        <v>33</v>
      </c>
      <c r="P17">
        <f t="shared" si="6"/>
        <v>26</v>
      </c>
      <c r="Q17">
        <f t="shared" si="6"/>
        <v>20</v>
      </c>
    </row>
    <row r="18" spans="1:17" x14ac:dyDescent="0.35">
      <c r="A18" s="1" t="s">
        <v>133</v>
      </c>
      <c r="C18" t="s">
        <v>132</v>
      </c>
      <c r="D18" s="1" t="s">
        <v>137</v>
      </c>
      <c r="E18" s="1">
        <f>_xlfn.XLOOKUP(D18,'rank lookup'!$A$1:$A$21,'rank lookup'!$B$1:$B$21,,0)</f>
        <v>7</v>
      </c>
      <c r="F18" s="1"/>
      <c r="G18" s="19">
        <v>171</v>
      </c>
      <c r="H18" s="19">
        <v>114</v>
      </c>
      <c r="I18" s="5">
        <f t="shared" si="0"/>
        <v>38.98635477582846</v>
      </c>
      <c r="J18" s="4">
        <f t="shared" si="1"/>
        <v>67.322834645669289</v>
      </c>
      <c r="K18">
        <f t="shared" si="2"/>
        <v>5</v>
      </c>
      <c r="L18">
        <f t="shared" si="3"/>
        <v>7.3</v>
      </c>
      <c r="M18" t="str">
        <f t="shared" si="4"/>
        <v>5' 7.3"</v>
      </c>
      <c r="N18">
        <f t="shared" si="5"/>
        <v>251</v>
      </c>
      <c r="O18">
        <f t="shared" si="6"/>
        <v>41</v>
      </c>
      <c r="P18">
        <f t="shared" si="6"/>
        <v>41</v>
      </c>
      <c r="Q18">
        <f t="shared" si="6"/>
        <v>41</v>
      </c>
    </row>
    <row r="19" spans="1:17" x14ac:dyDescent="0.35">
      <c r="A19" s="1" t="s">
        <v>121</v>
      </c>
      <c r="B19" s="1"/>
      <c r="C19" s="1" t="s">
        <v>137</v>
      </c>
      <c r="D19" s="1" t="s">
        <v>137</v>
      </c>
      <c r="E19" s="1">
        <f>_xlfn.XLOOKUP(D19,'rank lookup'!$A$1:$A$21,'rank lookup'!$B$1:$B$21,,0)</f>
        <v>7</v>
      </c>
      <c r="F19" s="1"/>
      <c r="G19" s="19">
        <v>175</v>
      </c>
      <c r="H19" s="19">
        <v>151</v>
      </c>
      <c r="I19" s="5">
        <f t="shared" si="0"/>
        <v>49.306122448979593</v>
      </c>
      <c r="J19" s="4">
        <f t="shared" si="1"/>
        <v>68.897637795275585</v>
      </c>
      <c r="K19">
        <f t="shared" si="2"/>
        <v>5</v>
      </c>
      <c r="L19">
        <f t="shared" si="3"/>
        <v>8.9</v>
      </c>
      <c r="M19" t="str">
        <f t="shared" si="4"/>
        <v>5' 8.9"</v>
      </c>
      <c r="N19">
        <f t="shared" si="5"/>
        <v>333</v>
      </c>
      <c r="O19">
        <f t="shared" si="6"/>
        <v>38</v>
      </c>
      <c r="P19">
        <f t="shared" si="6"/>
        <v>27</v>
      </c>
      <c r="Q19">
        <f t="shared" si="6"/>
        <v>11</v>
      </c>
    </row>
    <row r="20" spans="1:17" x14ac:dyDescent="0.35">
      <c r="A20" s="1" t="s">
        <v>111</v>
      </c>
      <c r="B20" s="1"/>
      <c r="C20" s="1" t="s">
        <v>140</v>
      </c>
      <c r="D20" s="1" t="s">
        <v>139</v>
      </c>
      <c r="E20" s="1">
        <f>_xlfn.XLOOKUP(D20,'rank lookup'!$A$1:$A$21,'rank lookup'!$B$1:$B$21,,0)</f>
        <v>8</v>
      </c>
      <c r="F20" s="1"/>
      <c r="G20" s="19">
        <v>182</v>
      </c>
      <c r="H20" s="19">
        <v>141</v>
      </c>
      <c r="I20" s="5">
        <f t="shared" si="0"/>
        <v>42.567322787103002</v>
      </c>
      <c r="J20" s="4">
        <f t="shared" si="1"/>
        <v>71.653543307086608</v>
      </c>
      <c r="K20">
        <f t="shared" si="2"/>
        <v>5</v>
      </c>
      <c r="L20">
        <f t="shared" si="3"/>
        <v>11.7</v>
      </c>
      <c r="M20" t="str">
        <f t="shared" si="4"/>
        <v>5' 11.7"</v>
      </c>
      <c r="N20">
        <f t="shared" si="5"/>
        <v>311</v>
      </c>
      <c r="O20">
        <f t="shared" si="6"/>
        <v>30</v>
      </c>
      <c r="P20">
        <f t="shared" si="6"/>
        <v>32</v>
      </c>
      <c r="Q20">
        <f t="shared" si="6"/>
        <v>32</v>
      </c>
    </row>
    <row r="21" spans="1:17" x14ac:dyDescent="0.35">
      <c r="A21" s="1" t="s">
        <v>100</v>
      </c>
      <c r="B21" s="1"/>
      <c r="C21" s="1" t="s">
        <v>141</v>
      </c>
      <c r="D21" s="1" t="s">
        <v>139</v>
      </c>
      <c r="E21" s="1">
        <f>_xlfn.XLOOKUP(D21,'rank lookup'!$A$1:$A$21,'rank lookup'!$B$1:$B$21,,0)</f>
        <v>8</v>
      </c>
      <c r="F21" s="1"/>
      <c r="G21" s="19">
        <v>186</v>
      </c>
      <c r="H21" s="19">
        <v>135</v>
      </c>
      <c r="I21" s="5">
        <f t="shared" si="0"/>
        <v>39.021852237252858</v>
      </c>
      <c r="J21" s="4">
        <f t="shared" si="1"/>
        <v>73.228346456692918</v>
      </c>
      <c r="K21">
        <f t="shared" si="2"/>
        <v>6</v>
      </c>
      <c r="L21">
        <f t="shared" si="3"/>
        <v>1.2</v>
      </c>
      <c r="M21" t="str">
        <f t="shared" si="4"/>
        <v>6' 1.2"</v>
      </c>
      <c r="N21">
        <f t="shared" si="5"/>
        <v>298</v>
      </c>
      <c r="O21">
        <f t="shared" si="6"/>
        <v>16</v>
      </c>
      <c r="P21">
        <f t="shared" si="6"/>
        <v>35</v>
      </c>
      <c r="Q21">
        <f t="shared" si="6"/>
        <v>40</v>
      </c>
    </row>
    <row r="22" spans="1:17" x14ac:dyDescent="0.35">
      <c r="A22" s="1" t="s">
        <v>103</v>
      </c>
      <c r="B22" s="1"/>
      <c r="C22" s="1" t="s">
        <v>142</v>
      </c>
      <c r="D22" s="1" t="s">
        <v>140</v>
      </c>
      <c r="E22" s="1">
        <f>_xlfn.XLOOKUP(D22,'rank lookup'!$A$1:$A$21,'rank lookup'!$B$1:$B$21,,0)</f>
        <v>9</v>
      </c>
      <c r="F22" s="1"/>
      <c r="G22" s="19">
        <v>184</v>
      </c>
      <c r="H22" s="19">
        <v>161</v>
      </c>
      <c r="I22" s="5">
        <f t="shared" si="0"/>
        <v>47.554347826086961</v>
      </c>
      <c r="J22" s="4">
        <f t="shared" si="1"/>
        <v>72.440944881889763</v>
      </c>
      <c r="K22">
        <f t="shared" si="2"/>
        <v>6</v>
      </c>
      <c r="L22">
        <f t="shared" si="3"/>
        <v>0.4</v>
      </c>
      <c r="M22" t="str">
        <f t="shared" si="4"/>
        <v>6' 0.4"</v>
      </c>
      <c r="N22">
        <f t="shared" si="5"/>
        <v>355</v>
      </c>
      <c r="O22">
        <f t="shared" si="6"/>
        <v>22</v>
      </c>
      <c r="P22">
        <f t="shared" si="6"/>
        <v>18</v>
      </c>
      <c r="Q22">
        <f t="shared" si="6"/>
        <v>19</v>
      </c>
    </row>
    <row r="23" spans="1:17" x14ac:dyDescent="0.35">
      <c r="A23" t="s">
        <v>144</v>
      </c>
      <c r="C23" s="1" t="s">
        <v>145</v>
      </c>
      <c r="D23" s="1" t="s">
        <v>140</v>
      </c>
      <c r="E23" s="1">
        <f>_xlfn.XLOOKUP(D23,'rank lookup'!$A$1:$A$21,'rank lookup'!$B$1:$B$21,,0)</f>
        <v>9</v>
      </c>
      <c r="F23" s="1"/>
      <c r="G23" s="19">
        <v>184</v>
      </c>
      <c r="H23" s="19">
        <v>148</v>
      </c>
      <c r="I23" s="5">
        <f t="shared" si="0"/>
        <v>43.714555765595463</v>
      </c>
      <c r="J23" s="4">
        <f t="shared" si="1"/>
        <v>72.440944881889763</v>
      </c>
      <c r="K23">
        <f t="shared" si="2"/>
        <v>6</v>
      </c>
      <c r="L23">
        <f t="shared" si="3"/>
        <v>0.4</v>
      </c>
      <c r="M23" t="str">
        <f t="shared" si="4"/>
        <v>6' 0.4"</v>
      </c>
      <c r="N23">
        <f t="shared" si="5"/>
        <v>326</v>
      </c>
      <c r="O23">
        <f t="shared" si="6"/>
        <v>22</v>
      </c>
      <c r="P23">
        <f t="shared" si="6"/>
        <v>30</v>
      </c>
      <c r="Q23">
        <f t="shared" si="6"/>
        <v>26</v>
      </c>
    </row>
    <row r="24" spans="1:17" x14ac:dyDescent="0.35">
      <c r="A24" s="1" t="s">
        <v>138</v>
      </c>
      <c r="C24" s="1" t="s">
        <v>139</v>
      </c>
      <c r="D24" s="1" t="s">
        <v>141</v>
      </c>
      <c r="E24" s="1">
        <f>_xlfn.XLOOKUP(D24,'rank lookup'!$A$1:$A$21,'rank lookup'!$B$1:$B$21,,0)</f>
        <v>10</v>
      </c>
      <c r="F24" s="1"/>
      <c r="G24" s="19">
        <v>184</v>
      </c>
      <c r="H24" s="19">
        <v>170</v>
      </c>
      <c r="I24" s="5">
        <f t="shared" si="0"/>
        <v>50.21266540642722</v>
      </c>
      <c r="J24" s="4">
        <f t="shared" si="1"/>
        <v>72.440944881889763</v>
      </c>
      <c r="K24">
        <f t="shared" si="2"/>
        <v>6</v>
      </c>
      <c r="L24">
        <f t="shared" si="3"/>
        <v>0.4</v>
      </c>
      <c r="M24" t="str">
        <f t="shared" si="4"/>
        <v>6' 0.4"</v>
      </c>
      <c r="N24">
        <f t="shared" si="5"/>
        <v>375</v>
      </c>
      <c r="O24">
        <f t="shared" si="6"/>
        <v>22</v>
      </c>
      <c r="P24">
        <f t="shared" si="6"/>
        <v>11</v>
      </c>
      <c r="Q24">
        <f t="shared" si="6"/>
        <v>9</v>
      </c>
    </row>
    <row r="25" spans="1:17" x14ac:dyDescent="0.35">
      <c r="A25" t="s">
        <v>149</v>
      </c>
      <c r="C25" s="1" t="s">
        <v>148</v>
      </c>
      <c r="D25" s="1" t="s">
        <v>141</v>
      </c>
      <c r="E25" s="1">
        <f>_xlfn.XLOOKUP(D25,'rank lookup'!$A$1:$A$21,'rank lookup'!$B$1:$B$21,,0)</f>
        <v>10</v>
      </c>
      <c r="F25" s="1"/>
      <c r="G25" s="20">
        <v>187</v>
      </c>
      <c r="H25" s="19">
        <v>154</v>
      </c>
      <c r="I25" s="5">
        <f t="shared" si="0"/>
        <v>44.039005976722237</v>
      </c>
      <c r="J25" s="4">
        <f t="shared" si="1"/>
        <v>73.622047244094489</v>
      </c>
      <c r="K25">
        <f t="shared" si="2"/>
        <v>6</v>
      </c>
      <c r="L25">
        <f t="shared" si="3"/>
        <v>1.6</v>
      </c>
      <c r="M25" t="str">
        <f t="shared" si="4"/>
        <v>6' 1.6"</v>
      </c>
      <c r="N25">
        <f t="shared" si="5"/>
        <v>340</v>
      </c>
      <c r="O25">
        <f t="shared" si="6"/>
        <v>13</v>
      </c>
      <c r="P25">
        <f t="shared" si="6"/>
        <v>24</v>
      </c>
      <c r="Q25">
        <f t="shared" si="6"/>
        <v>24</v>
      </c>
    </row>
    <row r="26" spans="1:17" x14ac:dyDescent="0.35">
      <c r="A26" s="1" t="s">
        <v>99</v>
      </c>
      <c r="B26" s="1"/>
      <c r="C26" s="1" t="s">
        <v>141</v>
      </c>
      <c r="D26" s="1" t="s">
        <v>135</v>
      </c>
      <c r="E26" s="1">
        <f>_xlfn.XLOOKUP(D26,'rank lookup'!$A$1:$A$21,'rank lookup'!$B$1:$B$21,,0)</f>
        <v>11</v>
      </c>
      <c r="F26" s="1"/>
      <c r="G26" s="19">
        <v>183</v>
      </c>
      <c r="H26" s="19">
        <v>149</v>
      </c>
      <c r="I26" s="5">
        <f t="shared" si="0"/>
        <v>44.492221326405691</v>
      </c>
      <c r="J26" s="4">
        <f t="shared" si="1"/>
        <v>72.047244094488192</v>
      </c>
      <c r="K26">
        <f t="shared" si="2"/>
        <v>6</v>
      </c>
      <c r="L26">
        <f t="shared" si="3"/>
        <v>0</v>
      </c>
      <c r="M26" t="str">
        <f t="shared" si="4"/>
        <v>6' 0"</v>
      </c>
      <c r="N26">
        <f t="shared" si="5"/>
        <v>328</v>
      </c>
      <c r="O26">
        <f t="shared" si="6"/>
        <v>26</v>
      </c>
      <c r="P26">
        <f t="shared" si="6"/>
        <v>29</v>
      </c>
      <c r="Q26">
        <f t="shared" si="6"/>
        <v>22</v>
      </c>
    </row>
    <row r="27" spans="1:17" x14ac:dyDescent="0.35">
      <c r="A27" s="1" t="s">
        <v>97</v>
      </c>
      <c r="B27" s="1"/>
      <c r="C27" s="1" t="s">
        <v>143</v>
      </c>
      <c r="D27" s="1" t="s">
        <v>135</v>
      </c>
      <c r="E27" s="1">
        <f>_xlfn.XLOOKUP(D27,'rank lookup'!$A$1:$A$21,'rank lookup'!$B$1:$B$21,,0)</f>
        <v>11</v>
      </c>
      <c r="F27" s="1"/>
      <c r="G27" s="19">
        <v>189</v>
      </c>
      <c r="H27" s="19">
        <v>154</v>
      </c>
      <c r="I27" s="5">
        <f t="shared" si="0"/>
        <v>43.111894963746821</v>
      </c>
      <c r="J27" s="4">
        <f t="shared" si="1"/>
        <v>74.409448818897644</v>
      </c>
      <c r="K27">
        <f t="shared" si="2"/>
        <v>6</v>
      </c>
      <c r="L27">
        <f t="shared" si="3"/>
        <v>2.4</v>
      </c>
      <c r="M27" t="str">
        <f t="shared" si="4"/>
        <v>6' 2.4"</v>
      </c>
      <c r="N27">
        <f t="shared" si="5"/>
        <v>340</v>
      </c>
      <c r="O27">
        <f t="shared" si="6"/>
        <v>7</v>
      </c>
      <c r="P27">
        <f t="shared" si="6"/>
        <v>24</v>
      </c>
      <c r="Q27">
        <f t="shared" si="6"/>
        <v>29</v>
      </c>
    </row>
    <row r="28" spans="1:17" x14ac:dyDescent="0.35">
      <c r="A28" s="1" t="s">
        <v>104</v>
      </c>
      <c r="B28" s="1"/>
      <c r="C28" s="1" t="s">
        <v>140</v>
      </c>
      <c r="D28" s="1" t="s">
        <v>142</v>
      </c>
      <c r="E28" s="1">
        <f>_xlfn.XLOOKUP(D28,'rank lookup'!$A$1:$A$21,'rank lookup'!$B$1:$B$21,,0)</f>
        <v>12</v>
      </c>
      <c r="F28" s="1"/>
      <c r="G28" s="19">
        <v>186</v>
      </c>
      <c r="H28" s="19">
        <v>166</v>
      </c>
      <c r="I28" s="5">
        <f t="shared" si="0"/>
        <v>47.982425713955372</v>
      </c>
      <c r="J28" s="4">
        <f t="shared" si="1"/>
        <v>73.228346456692918</v>
      </c>
      <c r="K28">
        <f t="shared" si="2"/>
        <v>6</v>
      </c>
      <c r="L28">
        <f t="shared" si="3"/>
        <v>1.2</v>
      </c>
      <c r="M28" t="str">
        <f t="shared" si="4"/>
        <v>6' 1.2"</v>
      </c>
      <c r="N28">
        <f t="shared" si="5"/>
        <v>366</v>
      </c>
      <c r="O28">
        <f t="shared" si="6"/>
        <v>16</v>
      </c>
      <c r="P28">
        <f t="shared" si="6"/>
        <v>14</v>
      </c>
      <c r="Q28">
        <f t="shared" si="6"/>
        <v>18</v>
      </c>
    </row>
    <row r="29" spans="1:17" x14ac:dyDescent="0.35">
      <c r="A29" s="1" t="s">
        <v>87</v>
      </c>
      <c r="B29" s="1">
        <v>1</v>
      </c>
      <c r="C29" s="1" t="s">
        <v>142</v>
      </c>
      <c r="D29" s="1" t="s">
        <v>142</v>
      </c>
      <c r="E29" s="1">
        <f>_xlfn.XLOOKUP(D29,'rank lookup'!$A$1:$A$21,'rank lookup'!$B$1:$B$21,,0)</f>
        <v>12</v>
      </c>
      <c r="F29" s="1"/>
      <c r="G29" s="19">
        <v>192</v>
      </c>
      <c r="H29" s="19">
        <v>179</v>
      </c>
      <c r="I29" s="5">
        <f t="shared" si="0"/>
        <v>48.556857638888893</v>
      </c>
      <c r="J29" s="4">
        <f t="shared" si="1"/>
        <v>75.59055118110237</v>
      </c>
      <c r="K29">
        <f t="shared" si="2"/>
        <v>6</v>
      </c>
      <c r="L29">
        <f t="shared" si="3"/>
        <v>3.6</v>
      </c>
      <c r="M29" t="str">
        <f t="shared" si="4"/>
        <v>6' 3.6"</v>
      </c>
      <c r="N29">
        <f t="shared" si="5"/>
        <v>395</v>
      </c>
      <c r="O29">
        <f t="shared" si="6"/>
        <v>2</v>
      </c>
      <c r="P29">
        <f t="shared" si="6"/>
        <v>6</v>
      </c>
      <c r="Q29">
        <f t="shared" si="6"/>
        <v>16</v>
      </c>
    </row>
    <row r="30" spans="1:17" x14ac:dyDescent="0.35">
      <c r="A30" s="1" t="s">
        <v>93</v>
      </c>
      <c r="B30" s="1"/>
      <c r="C30" s="1" t="s">
        <v>42</v>
      </c>
      <c r="D30" s="1" t="s">
        <v>143</v>
      </c>
      <c r="E30" s="1">
        <f>_xlfn.XLOOKUP(D30,'rank lookup'!$A$1:$A$21,'rank lookup'!$B$1:$B$21,,0)</f>
        <v>13</v>
      </c>
      <c r="F30" s="1"/>
      <c r="G30" s="19">
        <v>187</v>
      </c>
      <c r="H30" s="19">
        <v>151</v>
      </c>
      <c r="I30" s="5">
        <f t="shared" si="0"/>
        <v>43.181103262889984</v>
      </c>
      <c r="J30" s="4">
        <f t="shared" si="1"/>
        <v>73.622047244094489</v>
      </c>
      <c r="K30">
        <f t="shared" si="2"/>
        <v>6</v>
      </c>
      <c r="L30">
        <f t="shared" si="3"/>
        <v>1.6</v>
      </c>
      <c r="M30" t="str">
        <f t="shared" si="4"/>
        <v>6' 1.6"</v>
      </c>
      <c r="N30">
        <f t="shared" si="5"/>
        <v>333</v>
      </c>
      <c r="O30">
        <f t="shared" si="6"/>
        <v>13</v>
      </c>
      <c r="P30">
        <f t="shared" si="6"/>
        <v>27</v>
      </c>
      <c r="Q30">
        <f t="shared" si="6"/>
        <v>28</v>
      </c>
    </row>
    <row r="31" spans="1:17" x14ac:dyDescent="0.35">
      <c r="A31" s="1" t="s">
        <v>101</v>
      </c>
      <c r="B31" s="1"/>
      <c r="C31" s="1" t="s">
        <v>145</v>
      </c>
      <c r="D31" s="1" t="s">
        <v>143</v>
      </c>
      <c r="E31" s="1">
        <f>_xlfn.XLOOKUP(D31,'rank lookup'!$A$1:$A$21,'rank lookup'!$B$1:$B$21,,0)</f>
        <v>13</v>
      </c>
      <c r="F31" s="1"/>
      <c r="G31" s="19">
        <v>184</v>
      </c>
      <c r="H31" s="19">
        <v>167</v>
      </c>
      <c r="I31" s="5">
        <f t="shared" si="0"/>
        <v>49.326559546313803</v>
      </c>
      <c r="J31" s="4">
        <f t="shared" si="1"/>
        <v>72.440944881889763</v>
      </c>
      <c r="K31">
        <f t="shared" si="2"/>
        <v>6</v>
      </c>
      <c r="L31">
        <f t="shared" si="3"/>
        <v>0.4</v>
      </c>
      <c r="M31" t="str">
        <f t="shared" si="4"/>
        <v>6' 0.4"</v>
      </c>
      <c r="N31">
        <f t="shared" si="5"/>
        <v>368</v>
      </c>
      <c r="O31">
        <f t="shared" si="6"/>
        <v>22</v>
      </c>
      <c r="P31">
        <f t="shared" si="6"/>
        <v>12</v>
      </c>
      <c r="Q31">
        <f t="shared" si="6"/>
        <v>10</v>
      </c>
    </row>
    <row r="32" spans="1:17" x14ac:dyDescent="0.35">
      <c r="A32" s="1" t="s">
        <v>91</v>
      </c>
      <c r="B32" s="1"/>
      <c r="C32" s="1" t="s">
        <v>135</v>
      </c>
      <c r="D32" s="1" t="s">
        <v>145</v>
      </c>
      <c r="E32" s="1">
        <f>_xlfn.XLOOKUP(D32,'rank lookup'!$A$1:$A$21,'rank lookup'!$B$1:$B$21,,0)</f>
        <v>14</v>
      </c>
      <c r="F32" s="1"/>
      <c r="G32" s="19">
        <v>190</v>
      </c>
      <c r="H32" s="19">
        <v>186</v>
      </c>
      <c r="I32" s="5">
        <f t="shared" si="0"/>
        <v>51.523545706371188</v>
      </c>
      <c r="J32" s="4">
        <f t="shared" si="1"/>
        <v>74.803149606299215</v>
      </c>
      <c r="K32">
        <f t="shared" si="2"/>
        <v>6</v>
      </c>
      <c r="L32">
        <f t="shared" si="3"/>
        <v>2.8</v>
      </c>
      <c r="M32" t="str">
        <f t="shared" si="4"/>
        <v>6' 2.8"</v>
      </c>
      <c r="N32">
        <f t="shared" si="5"/>
        <v>410</v>
      </c>
      <c r="O32">
        <f t="shared" si="6"/>
        <v>5</v>
      </c>
      <c r="P32">
        <f t="shared" si="6"/>
        <v>3</v>
      </c>
      <c r="Q32">
        <f t="shared" si="6"/>
        <v>7</v>
      </c>
    </row>
    <row r="33" spans="1:17" x14ac:dyDescent="0.35">
      <c r="A33" s="1" t="s">
        <v>110</v>
      </c>
      <c r="B33" s="1"/>
      <c r="C33" s="1" t="s">
        <v>151</v>
      </c>
      <c r="D33" s="1" t="s">
        <v>145</v>
      </c>
      <c r="E33" s="1">
        <f>_xlfn.XLOOKUP(D33,'rank lookup'!$A$1:$A$21,'rank lookup'!$B$1:$B$21,,0)</f>
        <v>14</v>
      </c>
      <c r="F33" s="1"/>
      <c r="G33" s="19">
        <v>183</v>
      </c>
      <c r="H33" s="19">
        <v>135</v>
      </c>
      <c r="I33" s="5">
        <f t="shared" si="0"/>
        <v>40.311744154797097</v>
      </c>
      <c r="J33" s="4">
        <f t="shared" si="1"/>
        <v>72.047244094488192</v>
      </c>
      <c r="K33">
        <f t="shared" si="2"/>
        <v>6</v>
      </c>
      <c r="L33">
        <f t="shared" si="3"/>
        <v>0</v>
      </c>
      <c r="M33" t="str">
        <f t="shared" si="4"/>
        <v>6' 0"</v>
      </c>
      <c r="N33">
        <f t="shared" si="5"/>
        <v>298</v>
      </c>
      <c r="O33">
        <f t="shared" si="6"/>
        <v>26</v>
      </c>
      <c r="P33">
        <f t="shared" si="6"/>
        <v>35</v>
      </c>
      <c r="Q33">
        <f t="shared" si="6"/>
        <v>38</v>
      </c>
    </row>
    <row r="34" spans="1:17" x14ac:dyDescent="0.35">
      <c r="A34" s="1" t="s">
        <v>120</v>
      </c>
      <c r="B34" s="1"/>
      <c r="C34" s="1" t="s">
        <v>135</v>
      </c>
      <c r="D34" s="1" t="s">
        <v>147</v>
      </c>
      <c r="E34" s="1">
        <f>_xlfn.XLOOKUP(D34,'rank lookup'!$A$1:$A$21,'rank lookup'!$B$1:$B$21,,0)</f>
        <v>15</v>
      </c>
      <c r="F34" s="1"/>
      <c r="G34" s="19">
        <v>178</v>
      </c>
      <c r="H34" s="19">
        <v>162</v>
      </c>
      <c r="I34" s="5">
        <f t="shared" si="0"/>
        <v>51.129907839919206</v>
      </c>
      <c r="J34" s="4">
        <f t="shared" si="1"/>
        <v>70.078740157480311</v>
      </c>
      <c r="K34">
        <f t="shared" si="2"/>
        <v>5</v>
      </c>
      <c r="L34">
        <f t="shared" si="3"/>
        <v>10.1</v>
      </c>
      <c r="M34" t="str">
        <f t="shared" si="4"/>
        <v>5' 10.1"</v>
      </c>
      <c r="N34">
        <f t="shared" si="5"/>
        <v>357</v>
      </c>
      <c r="O34">
        <f t="shared" si="6"/>
        <v>35</v>
      </c>
      <c r="P34">
        <f t="shared" si="6"/>
        <v>16</v>
      </c>
      <c r="Q34">
        <f t="shared" si="6"/>
        <v>8</v>
      </c>
    </row>
    <row r="35" spans="1:17" x14ac:dyDescent="0.35">
      <c r="A35" t="s">
        <v>146</v>
      </c>
      <c r="C35" s="1" t="s">
        <v>147</v>
      </c>
      <c r="D35" s="1" t="s">
        <v>147</v>
      </c>
      <c r="E35" s="1">
        <f>_xlfn.XLOOKUP(D35,'rank lookup'!$A$1:$A$21,'rank lookup'!$B$1:$B$21,,0)</f>
        <v>15</v>
      </c>
      <c r="F35" s="1"/>
      <c r="G35" s="19">
        <v>189</v>
      </c>
      <c r="H35" s="19">
        <v>158</v>
      </c>
      <c r="I35" s="5">
        <f t="shared" si="0"/>
        <v>44.23168444332466</v>
      </c>
      <c r="J35" s="4">
        <f t="shared" si="1"/>
        <v>74.409448818897644</v>
      </c>
      <c r="K35">
        <f t="shared" si="2"/>
        <v>6</v>
      </c>
      <c r="L35">
        <f t="shared" si="3"/>
        <v>2.4</v>
      </c>
      <c r="M35" t="str">
        <f t="shared" si="4"/>
        <v>6' 2.4"</v>
      </c>
      <c r="N35">
        <f t="shared" si="5"/>
        <v>348</v>
      </c>
      <c r="O35">
        <f t="shared" si="6"/>
        <v>7</v>
      </c>
      <c r="P35">
        <f t="shared" si="6"/>
        <v>20</v>
      </c>
      <c r="Q35">
        <f t="shared" si="6"/>
        <v>23</v>
      </c>
    </row>
    <row r="36" spans="1:17" x14ac:dyDescent="0.35">
      <c r="A36" s="1" t="s">
        <v>122</v>
      </c>
      <c r="B36" s="1"/>
      <c r="C36" s="1" t="s">
        <v>143</v>
      </c>
      <c r="D36" s="1" t="s">
        <v>148</v>
      </c>
      <c r="E36" s="1">
        <f>_xlfn.XLOOKUP(D36,'rank lookup'!$A$1:$A$21,'rank lookup'!$B$1:$B$21,,0)</f>
        <v>16</v>
      </c>
      <c r="F36" s="1"/>
      <c r="G36" s="19">
        <v>176</v>
      </c>
      <c r="H36" s="19">
        <v>131</v>
      </c>
      <c r="I36" s="5">
        <f t="shared" si="0"/>
        <v>42.290805785123965</v>
      </c>
      <c r="J36" s="4">
        <f t="shared" si="1"/>
        <v>69.29133858267717</v>
      </c>
      <c r="K36">
        <f t="shared" si="2"/>
        <v>5</v>
      </c>
      <c r="L36">
        <f t="shared" si="3"/>
        <v>9.3000000000000007</v>
      </c>
      <c r="M36" t="str">
        <f t="shared" si="4"/>
        <v>5' 9.3"</v>
      </c>
      <c r="N36">
        <f t="shared" si="5"/>
        <v>289</v>
      </c>
      <c r="O36">
        <f t="shared" si="6"/>
        <v>37</v>
      </c>
      <c r="P36">
        <f t="shared" si="6"/>
        <v>40</v>
      </c>
      <c r="Q36">
        <f t="shared" si="6"/>
        <v>33</v>
      </c>
    </row>
    <row r="37" spans="1:17" x14ac:dyDescent="0.35">
      <c r="A37" s="1" t="s">
        <v>113</v>
      </c>
      <c r="B37" s="1"/>
      <c r="C37" s="1" t="s">
        <v>147</v>
      </c>
      <c r="D37" s="1" t="s">
        <v>148</v>
      </c>
      <c r="E37" s="1">
        <f>_xlfn.XLOOKUP(D37,'rank lookup'!$A$1:$A$21,'rank lookup'!$B$1:$B$21,,0)</f>
        <v>16</v>
      </c>
      <c r="F37" s="1"/>
      <c r="G37" s="19">
        <v>181</v>
      </c>
      <c r="H37" s="19">
        <v>189</v>
      </c>
      <c r="I37" s="5">
        <f t="shared" si="0"/>
        <v>57.690546686609082</v>
      </c>
      <c r="J37" s="4">
        <f t="shared" si="1"/>
        <v>71.259842519685037</v>
      </c>
      <c r="K37">
        <f t="shared" si="2"/>
        <v>5</v>
      </c>
      <c r="L37">
        <f t="shared" si="3"/>
        <v>11.3</v>
      </c>
      <c r="M37" t="str">
        <f t="shared" si="4"/>
        <v>5' 11.3"</v>
      </c>
      <c r="N37">
        <f t="shared" si="5"/>
        <v>417</v>
      </c>
      <c r="O37">
        <f t="shared" si="6"/>
        <v>32</v>
      </c>
      <c r="P37">
        <f t="shared" si="6"/>
        <v>2</v>
      </c>
      <c r="Q37">
        <f t="shared" si="6"/>
        <v>2</v>
      </c>
    </row>
    <row r="38" spans="1:17" x14ac:dyDescent="0.35">
      <c r="A38" s="1" t="s">
        <v>90</v>
      </c>
      <c r="B38" s="1"/>
      <c r="C38" s="1" t="s">
        <v>148</v>
      </c>
      <c r="D38" s="1" t="s">
        <v>150</v>
      </c>
      <c r="E38" s="1">
        <f>_xlfn.XLOOKUP(D38,'rank lookup'!$A$1:$A$21,'rank lookup'!$B$1:$B$21,,0)</f>
        <v>17</v>
      </c>
      <c r="F38" s="1"/>
      <c r="G38" s="19">
        <v>189</v>
      </c>
      <c r="H38" s="19">
        <v>156</v>
      </c>
      <c r="I38" s="5">
        <f t="shared" si="0"/>
        <v>43.671789703535737</v>
      </c>
      <c r="J38" s="4">
        <f t="shared" si="1"/>
        <v>74.409448818897644</v>
      </c>
      <c r="K38">
        <f t="shared" si="2"/>
        <v>6</v>
      </c>
      <c r="L38">
        <f t="shared" si="3"/>
        <v>2.4</v>
      </c>
      <c r="M38" t="str">
        <f t="shared" si="4"/>
        <v>6' 2.4"</v>
      </c>
      <c r="N38">
        <f t="shared" si="5"/>
        <v>344</v>
      </c>
      <c r="O38">
        <f t="shared" si="6"/>
        <v>7</v>
      </c>
      <c r="P38">
        <f t="shared" si="6"/>
        <v>22</v>
      </c>
      <c r="Q38">
        <f t="shared" si="6"/>
        <v>27</v>
      </c>
    </row>
    <row r="39" spans="1:17" x14ac:dyDescent="0.35">
      <c r="A39" s="1" t="s">
        <v>88</v>
      </c>
      <c r="B39" s="1"/>
      <c r="C39" s="1" t="s">
        <v>150</v>
      </c>
      <c r="D39" s="1" t="s">
        <v>150</v>
      </c>
      <c r="E39" s="1">
        <f>_xlfn.XLOOKUP(D39,'rank lookup'!$A$1:$A$21,'rank lookup'!$B$1:$B$21,,0)</f>
        <v>17</v>
      </c>
      <c r="F39" s="1"/>
      <c r="G39" s="19">
        <v>189</v>
      </c>
      <c r="H39" s="19">
        <v>176</v>
      </c>
      <c r="I39" s="5">
        <f t="shared" si="0"/>
        <v>49.270737101424935</v>
      </c>
      <c r="J39" s="4">
        <f t="shared" si="1"/>
        <v>74.409448818897644</v>
      </c>
      <c r="K39">
        <f t="shared" si="2"/>
        <v>6</v>
      </c>
      <c r="L39">
        <f t="shared" si="3"/>
        <v>2.4</v>
      </c>
      <c r="M39" t="str">
        <f t="shared" si="4"/>
        <v>6' 2.4"</v>
      </c>
      <c r="N39">
        <f t="shared" si="5"/>
        <v>388</v>
      </c>
      <c r="O39">
        <f t="shared" si="6"/>
        <v>7</v>
      </c>
      <c r="P39">
        <f t="shared" si="6"/>
        <v>8</v>
      </c>
      <c r="Q39">
        <f t="shared" si="6"/>
        <v>12</v>
      </c>
    </row>
    <row r="40" spans="1:17" x14ac:dyDescent="0.35">
      <c r="A40" s="1" t="s">
        <v>98</v>
      </c>
      <c r="B40" s="1"/>
      <c r="C40" s="1" t="s">
        <v>150</v>
      </c>
      <c r="D40" s="1" t="s">
        <v>151</v>
      </c>
      <c r="E40" s="1">
        <f>_xlfn.XLOOKUP(D40,'rank lookup'!$A$1:$A$21,'rank lookup'!$B$1:$B$21,,0)</f>
        <v>18</v>
      </c>
      <c r="F40" s="1"/>
      <c r="G40" s="19">
        <v>187</v>
      </c>
      <c r="H40" s="19">
        <v>145</v>
      </c>
      <c r="I40" s="5">
        <f t="shared" si="0"/>
        <v>41.465297835225485</v>
      </c>
      <c r="J40" s="4">
        <f t="shared" si="1"/>
        <v>73.622047244094489</v>
      </c>
      <c r="K40">
        <f t="shared" si="2"/>
        <v>6</v>
      </c>
      <c r="L40">
        <f t="shared" si="3"/>
        <v>1.6</v>
      </c>
      <c r="M40" t="str">
        <f t="shared" si="4"/>
        <v>6' 1.6"</v>
      </c>
      <c r="N40">
        <f t="shared" si="5"/>
        <v>320</v>
      </c>
      <c r="O40">
        <f t="shared" si="6"/>
        <v>13</v>
      </c>
      <c r="P40">
        <f t="shared" si="6"/>
        <v>31</v>
      </c>
      <c r="Q40">
        <f t="shared" si="6"/>
        <v>35</v>
      </c>
    </row>
    <row r="41" spans="1:17" x14ac:dyDescent="0.35">
      <c r="A41" s="1" t="s">
        <v>166</v>
      </c>
      <c r="D41" t="s">
        <v>151</v>
      </c>
      <c r="E41" s="1">
        <f>_xlfn.XLOOKUP(D41,'rank lookup'!$A$1:$A$21,'rank lookup'!$B$1:$B$21,,0)</f>
        <v>18</v>
      </c>
      <c r="G41" s="19">
        <v>191</v>
      </c>
      <c r="H41" s="19">
        <v>157</v>
      </c>
      <c r="I41" s="5">
        <f t="shared" si="0"/>
        <v>43.036100984073904</v>
      </c>
      <c r="J41" s="4">
        <f t="shared" si="1"/>
        <v>75.196850393700785</v>
      </c>
      <c r="K41">
        <f t="shared" si="2"/>
        <v>6</v>
      </c>
      <c r="L41">
        <f t="shared" si="3"/>
        <v>3.2</v>
      </c>
      <c r="M41" t="str">
        <f t="shared" si="4"/>
        <v>6' 3.2"</v>
      </c>
      <c r="N41">
        <f t="shared" si="5"/>
        <v>346</v>
      </c>
      <c r="O41">
        <f t="shared" si="6"/>
        <v>4</v>
      </c>
      <c r="P41">
        <f t="shared" si="6"/>
        <v>21</v>
      </c>
      <c r="Q41">
        <f t="shared" si="6"/>
        <v>30</v>
      </c>
    </row>
    <row r="42" spans="1:17" x14ac:dyDescent="0.35">
      <c r="A42" s="1" t="s">
        <v>167</v>
      </c>
      <c r="D42" t="s">
        <v>152</v>
      </c>
      <c r="E42" s="1">
        <f>_xlfn.XLOOKUP(D42,'rank lookup'!$A$1:$A$21,'rank lookup'!$B$1:$B$21,,0)</f>
        <v>19</v>
      </c>
      <c r="G42" s="19">
        <v>193</v>
      </c>
      <c r="H42" s="19">
        <v>155</v>
      </c>
      <c r="I42" s="5">
        <f t="shared" ref="I42:I43" si="7">H42/(G42*G42)*10000</f>
        <v>41.611855351821525</v>
      </c>
      <c r="J42" s="4">
        <f t="shared" ref="J42:J43" si="8">CONVERT(G42,"cm","in")</f>
        <v>75.984251968503941</v>
      </c>
      <c r="K42">
        <f t="shared" ref="K42:K43" si="9">_xlfn.FLOOR.MATH(J42/12)</f>
        <v>6</v>
      </c>
      <c r="L42">
        <f t="shared" ref="L42:L43" si="10">ROUND(J42-K42*12,1)</f>
        <v>4</v>
      </c>
      <c r="M42" t="str">
        <f t="shared" ref="M42:M43" si="11">K42&amp;"' "&amp;L42&amp;""""</f>
        <v>6' 4"</v>
      </c>
      <c r="N42">
        <f t="shared" ref="N42:N43" si="12">ROUND(CONVERT(H42,"kg","lbm"),0)</f>
        <v>342</v>
      </c>
      <c r="O42">
        <f t="shared" si="6"/>
        <v>1</v>
      </c>
      <c r="P42">
        <f t="shared" si="6"/>
        <v>23</v>
      </c>
      <c r="Q42">
        <f t="shared" si="6"/>
        <v>34</v>
      </c>
    </row>
    <row r="43" spans="1:17" x14ac:dyDescent="0.35">
      <c r="A43" s="1" t="s">
        <v>168</v>
      </c>
      <c r="D43" t="s">
        <v>152</v>
      </c>
      <c r="E43" s="1">
        <f>_xlfn.XLOOKUP(D43,'rank lookup'!$A$1:$A$21,'rank lookup'!$B$1:$B$21,,0)</f>
        <v>19</v>
      </c>
      <c r="G43" s="19">
        <v>185</v>
      </c>
      <c r="H43" s="19">
        <v>177</v>
      </c>
      <c r="I43" s="5">
        <f t="shared" si="7"/>
        <v>51.716581446311181</v>
      </c>
      <c r="J43" s="4">
        <f t="shared" si="8"/>
        <v>72.834645669291348</v>
      </c>
      <c r="K43">
        <f t="shared" si="9"/>
        <v>6</v>
      </c>
      <c r="L43">
        <f t="shared" si="10"/>
        <v>0.8</v>
      </c>
      <c r="M43" t="str">
        <f t="shared" si="11"/>
        <v>6' 0.8"</v>
      </c>
      <c r="N43">
        <f t="shared" si="12"/>
        <v>390</v>
      </c>
      <c r="O43">
        <f t="shared" si="6"/>
        <v>19</v>
      </c>
      <c r="P43">
        <f t="shared" si="6"/>
        <v>7</v>
      </c>
      <c r="Q43">
        <f t="shared" si="6"/>
        <v>6</v>
      </c>
    </row>
    <row r="44" spans="1:17" x14ac:dyDescent="0.35">
      <c r="A44" s="1" t="s">
        <v>126</v>
      </c>
      <c r="B44" s="1"/>
      <c r="C44" s="1" t="s">
        <v>152</v>
      </c>
      <c r="D44" s="1" t="s">
        <v>154</v>
      </c>
      <c r="E44" s="1">
        <f>_xlfn.XLOOKUP(D44,'rank lookup'!$A$1:$A$21,'rank lookup'!$B$1:$B$21,,0)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6"/>
        <v>42</v>
      </c>
      <c r="P44">
        <f t="shared" si="6"/>
        <v>42</v>
      </c>
      <c r="Q44">
        <f t="shared" si="6"/>
        <v>42</v>
      </c>
    </row>
    <row r="45" spans="1:17" x14ac:dyDescent="0.35">
      <c r="A45" t="s">
        <v>155</v>
      </c>
      <c r="C45" s="1" t="s">
        <v>154</v>
      </c>
      <c r="D45" s="1" t="s">
        <v>154</v>
      </c>
      <c r="E45" s="1">
        <f>_xlfn.XLOOKUP(D45,'rank lookup'!$A$1:$A$21,'rank lookup'!$B$1:$B$21,,0)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6"/>
        <v>35</v>
      </c>
      <c r="P45">
        <f t="shared" si="6"/>
        <v>35</v>
      </c>
      <c r="Q45">
        <f t="shared" si="6"/>
        <v>31</v>
      </c>
    </row>
    <row r="46" spans="1:17" x14ac:dyDescent="0.35">
      <c r="A46" s="1" t="s">
        <v>108</v>
      </c>
      <c r="B46" s="1"/>
      <c r="C46" s="1" t="s">
        <v>152</v>
      </c>
      <c r="D46" s="1" t="s">
        <v>170</v>
      </c>
      <c r="E46" s="1" t="e">
        <f>_xlfn.XLOOKUP(D46,'rank lookup'!$A$1:$A$21,'rank lookup'!$B$1:$B$21,,0)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x14ac:dyDescent="0.35">
      <c r="A47" t="s">
        <v>153</v>
      </c>
      <c r="C47" s="1" t="s">
        <v>154</v>
      </c>
      <c r="D47" s="1" t="s">
        <v>170</v>
      </c>
      <c r="E47" s="1" t="e">
        <f>_xlfn.XLOOKUP(D47,'rank lookup'!$A$1:$A$21,'rank lookup'!$B$1:$B$21,,0)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x14ac:dyDescent="0.35">
      <c r="A48" s="1" t="s">
        <v>107</v>
      </c>
      <c r="B48" s="1"/>
      <c r="C48" s="1" t="s">
        <v>151</v>
      </c>
      <c r="D48" s="1" t="s">
        <v>169</v>
      </c>
      <c r="E48" s="1" t="e">
        <f>_xlfn.XLOOKUP(D48,'rank lookup'!$A$1:$A$21,'rank lookup'!$B$1:$B$21,,0)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1"/>
  <sheetViews>
    <sheetView workbookViewId="0">
      <selection activeCell="B19" sqref="B19"/>
    </sheetView>
  </sheetViews>
  <sheetFormatPr defaultRowHeight="14.5" x14ac:dyDescent="0.35"/>
  <sheetData>
    <row r="1" spans="1:2" x14ac:dyDescent="0.35">
      <c r="A1" t="s" cm="1">
        <v>42</v>
      </c>
      <c r="B1">
        <v>4</v>
      </c>
    </row>
    <row r="2" spans="1:2" x14ac:dyDescent="0.35">
      <c r="A2" t="s">
        <v>132</v>
      </c>
      <c r="B2" cm="1">
        <f t="array" ref="B2:B17">_xlfn.SEQUENCE(16,1,5)</f>
        <v>5</v>
      </c>
    </row>
    <row r="3" spans="1:2" x14ac:dyDescent="0.35">
      <c r="A3" t="s">
        <v>136</v>
      </c>
      <c r="B3">
        <v>6</v>
      </c>
    </row>
    <row r="4" spans="1:2" x14ac:dyDescent="0.35">
      <c r="A4" t="s">
        <v>137</v>
      </c>
      <c r="B4">
        <v>7</v>
      </c>
    </row>
    <row r="5" spans="1:2" x14ac:dyDescent="0.35">
      <c r="A5" t="s">
        <v>139</v>
      </c>
      <c r="B5">
        <v>8</v>
      </c>
    </row>
    <row r="6" spans="1:2" x14ac:dyDescent="0.35">
      <c r="A6" t="s">
        <v>140</v>
      </c>
      <c r="B6">
        <v>9</v>
      </c>
    </row>
    <row r="7" spans="1:2" x14ac:dyDescent="0.35">
      <c r="A7" t="s">
        <v>141</v>
      </c>
      <c r="B7">
        <v>10</v>
      </c>
    </row>
    <row r="8" spans="1:2" x14ac:dyDescent="0.35">
      <c r="A8" t="s">
        <v>135</v>
      </c>
      <c r="B8">
        <v>11</v>
      </c>
    </row>
    <row r="9" spans="1:2" x14ac:dyDescent="0.35">
      <c r="A9" t="s">
        <v>142</v>
      </c>
      <c r="B9">
        <v>12</v>
      </c>
    </row>
    <row r="10" spans="1:2" x14ac:dyDescent="0.35">
      <c r="A10" t="s">
        <v>143</v>
      </c>
      <c r="B10">
        <v>13</v>
      </c>
    </row>
    <row r="11" spans="1:2" x14ac:dyDescent="0.35">
      <c r="A11" t="s">
        <v>145</v>
      </c>
      <c r="B11">
        <v>14</v>
      </c>
    </row>
    <row r="12" spans="1:2" x14ac:dyDescent="0.35">
      <c r="A12" t="s">
        <v>147</v>
      </c>
      <c r="B12">
        <v>15</v>
      </c>
    </row>
    <row r="13" spans="1:2" x14ac:dyDescent="0.35">
      <c r="A13" t="s">
        <v>148</v>
      </c>
      <c r="B13">
        <v>16</v>
      </c>
    </row>
    <row r="14" spans="1:2" x14ac:dyDescent="0.35">
      <c r="A14" t="s">
        <v>150</v>
      </c>
      <c r="B14">
        <v>17</v>
      </c>
    </row>
    <row r="15" spans="1:2" x14ac:dyDescent="0.35">
      <c r="A15" t="s">
        <v>151</v>
      </c>
      <c r="B15">
        <v>18</v>
      </c>
    </row>
    <row r="16" spans="1:2" x14ac:dyDescent="0.35">
      <c r="A16" t="s">
        <v>152</v>
      </c>
      <c r="B16">
        <v>19</v>
      </c>
    </row>
    <row r="17" spans="1:2" x14ac:dyDescent="0.35">
      <c r="A17" t="s">
        <v>154</v>
      </c>
      <c r="B17">
        <v>20</v>
      </c>
    </row>
    <row r="18" spans="1:2" x14ac:dyDescent="0.35">
      <c r="A18" t="s">
        <v>186</v>
      </c>
      <c r="B18">
        <v>21</v>
      </c>
    </row>
    <row r="19" spans="1:2" x14ac:dyDescent="0.35">
      <c r="A19" t="s">
        <v>39</v>
      </c>
      <c r="B19">
        <v>2</v>
      </c>
    </row>
    <row r="20" spans="1:2" x14ac:dyDescent="0.35">
      <c r="A20" t="s">
        <v>31</v>
      </c>
      <c r="B20">
        <v>3</v>
      </c>
    </row>
    <row r="21" spans="1:2" x14ac:dyDescent="0.35">
      <c r="A21" t="s">
        <v>14</v>
      </c>
      <c r="B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workbookViewId="0">
      <selection activeCell="K5" sqref="K5"/>
    </sheetView>
  </sheetViews>
  <sheetFormatPr defaultRowHeight="14.5" x14ac:dyDescent="0.35"/>
  <cols>
    <col min="1" max="3" width="21.1796875" customWidth="1"/>
    <col min="6" max="6" width="11.26953125" bestFit="1" customWidth="1"/>
    <col min="7" max="7" width="9" style="4"/>
    <col min="12" max="13" width="9"/>
    <col min="15" max="33" width="9"/>
  </cols>
  <sheetData>
    <row r="2" spans="1:33" x14ac:dyDescent="0.35">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x14ac:dyDescent="0.35">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x14ac:dyDescent="0.35">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x14ac:dyDescent="0.35">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x14ac:dyDescent="0.35">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x14ac:dyDescent="0.35">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x14ac:dyDescent="0.35">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x14ac:dyDescent="0.35">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x14ac:dyDescent="0.35">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x14ac:dyDescent="0.35">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x14ac:dyDescent="0.35">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x14ac:dyDescent="0.35">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x14ac:dyDescent="0.35">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x14ac:dyDescent="0.35">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x14ac:dyDescent="0.35">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x14ac:dyDescent="0.35">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x14ac:dyDescent="0.35">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x14ac:dyDescent="0.35">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x14ac:dyDescent="0.35">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x14ac:dyDescent="0.35">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x14ac:dyDescent="0.35">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x14ac:dyDescent="0.35">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x14ac:dyDescent="0.35">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x14ac:dyDescent="0.35">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x14ac:dyDescent="0.35">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x14ac:dyDescent="0.35">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x14ac:dyDescent="0.35">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x14ac:dyDescent="0.35">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x14ac:dyDescent="0.35">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x14ac:dyDescent="0.35">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x14ac:dyDescent="0.35">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x14ac:dyDescent="0.35">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x14ac:dyDescent="0.35">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x14ac:dyDescent="0.35">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x14ac:dyDescent="0.35">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x14ac:dyDescent="0.35">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x14ac:dyDescent="0.35">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x14ac:dyDescent="0.35">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x14ac:dyDescent="0.35">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x14ac:dyDescent="0.35">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x14ac:dyDescent="0.35">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x14ac:dyDescent="0.35">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x14ac:dyDescent="0.35">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x14ac:dyDescent="0.35"/>
  <cols>
    <col min="1" max="3" width="21.1796875" customWidth="1"/>
    <col min="6" max="6" width="11.26953125" bestFit="1" customWidth="1"/>
    <col min="7" max="7" width="9" style="4"/>
  </cols>
  <sheetData>
    <row r="2" spans="1:13" x14ac:dyDescent="0.35">
      <c r="A2" t="s">
        <v>3</v>
      </c>
      <c r="B2" t="s">
        <v>11</v>
      </c>
      <c r="C2" t="s">
        <v>12</v>
      </c>
      <c r="D2" t="s">
        <v>5</v>
      </c>
      <c r="E2" t="s">
        <v>4</v>
      </c>
      <c r="F2" t="s">
        <v>26</v>
      </c>
      <c r="G2" s="4" t="s">
        <v>6</v>
      </c>
      <c r="H2" t="s">
        <v>7</v>
      </c>
      <c r="I2" t="s">
        <v>8</v>
      </c>
      <c r="J2" t="s">
        <v>9</v>
      </c>
      <c r="K2" t="s">
        <v>10</v>
      </c>
      <c r="M2" s="15" t="s">
        <v>52</v>
      </c>
    </row>
    <row r="3" spans="1:13" x14ac:dyDescent="0.35">
      <c r="A3" s="1" t="s">
        <v>95</v>
      </c>
      <c r="B3" s="1"/>
      <c r="C3" s="1" t="s">
        <v>25</v>
      </c>
      <c r="D3" s="2">
        <v>187</v>
      </c>
      <c r="E3" s="2">
        <v>132</v>
      </c>
      <c r="F3" s="5">
        <v>37.747719408619062</v>
      </c>
      <c r="G3" s="4">
        <v>73.622047244094489</v>
      </c>
      <c r="H3">
        <v>6</v>
      </c>
      <c r="I3">
        <v>1.6</v>
      </c>
      <c r="J3" t="s">
        <v>69</v>
      </c>
      <c r="K3">
        <v>291</v>
      </c>
      <c r="L3">
        <v>11</v>
      </c>
      <c r="M3" s="7">
        <v>1</v>
      </c>
    </row>
    <row r="4" spans="1:13" x14ac:dyDescent="0.35">
      <c r="A4" s="1" t="s">
        <v>100</v>
      </c>
      <c r="B4" s="1"/>
      <c r="C4" s="1" t="s">
        <v>17</v>
      </c>
      <c r="D4" s="2">
        <v>186</v>
      </c>
      <c r="E4" s="2">
        <v>138</v>
      </c>
      <c r="F4" s="5">
        <v>39.889004509191814</v>
      </c>
      <c r="G4" s="4">
        <v>73.228346456692918</v>
      </c>
      <c r="H4">
        <v>6</v>
      </c>
      <c r="I4">
        <v>1.2</v>
      </c>
      <c r="J4" t="s">
        <v>71</v>
      </c>
      <c r="K4">
        <v>304</v>
      </c>
      <c r="L4">
        <v>16</v>
      </c>
      <c r="M4" s="8">
        <v>1</v>
      </c>
    </row>
    <row r="5" spans="1:13" x14ac:dyDescent="0.35">
      <c r="A5" s="1" t="s">
        <v>102</v>
      </c>
      <c r="B5" s="1"/>
      <c r="C5" s="1" t="s">
        <v>32</v>
      </c>
      <c r="D5" s="2">
        <v>185</v>
      </c>
      <c r="E5" s="2">
        <v>140</v>
      </c>
      <c r="F5" s="5">
        <v>40.905770635500367</v>
      </c>
      <c r="G5" s="4">
        <v>72.834645669291348</v>
      </c>
      <c r="H5">
        <v>6</v>
      </c>
      <c r="I5">
        <v>0.8</v>
      </c>
      <c r="J5" t="s">
        <v>72</v>
      </c>
      <c r="K5">
        <v>309</v>
      </c>
      <c r="L5">
        <v>18</v>
      </c>
      <c r="M5" s="8">
        <v>1</v>
      </c>
    </row>
    <row r="6" spans="1:13" x14ac:dyDescent="0.35">
      <c r="A6" s="1" t="s">
        <v>110</v>
      </c>
      <c r="B6" s="1"/>
      <c r="C6" s="1" t="s">
        <v>40</v>
      </c>
      <c r="D6" s="2">
        <v>183</v>
      </c>
      <c r="E6" s="2">
        <v>141</v>
      </c>
      <c r="F6" s="5">
        <v>42.103377228343632</v>
      </c>
      <c r="G6" s="4">
        <v>72.047244094488192</v>
      </c>
      <c r="H6">
        <v>6</v>
      </c>
      <c r="I6">
        <v>0</v>
      </c>
      <c r="J6" t="s">
        <v>70</v>
      </c>
      <c r="K6">
        <v>311</v>
      </c>
      <c r="L6">
        <v>26</v>
      </c>
      <c r="M6" s="8">
        <v>1</v>
      </c>
    </row>
    <row r="7" spans="1:13" x14ac:dyDescent="0.35">
      <c r="A7" s="1" t="s">
        <v>111</v>
      </c>
      <c r="B7" s="1"/>
      <c r="C7" s="1" t="s">
        <v>41</v>
      </c>
      <c r="D7" s="2">
        <v>183</v>
      </c>
      <c r="E7" s="2">
        <v>140</v>
      </c>
      <c r="F7" s="5">
        <v>41.804771716085874</v>
      </c>
      <c r="G7" s="4">
        <v>72.047244094488192</v>
      </c>
      <c r="H7">
        <v>6</v>
      </c>
      <c r="I7">
        <v>0</v>
      </c>
      <c r="J7" t="s">
        <v>70</v>
      </c>
      <c r="K7">
        <v>309</v>
      </c>
      <c r="L7">
        <v>27</v>
      </c>
      <c r="M7" s="8">
        <v>1</v>
      </c>
    </row>
    <row r="8" spans="1:13" x14ac:dyDescent="0.35">
      <c r="A8" s="1" t="s">
        <v>114</v>
      </c>
      <c r="B8" s="1"/>
      <c r="C8" s="1" t="s">
        <v>44</v>
      </c>
      <c r="D8" s="2">
        <v>182</v>
      </c>
      <c r="E8" s="2">
        <v>130</v>
      </c>
      <c r="F8" s="5">
        <v>39.246467817896388</v>
      </c>
      <c r="G8" s="4">
        <v>71.653543307086608</v>
      </c>
      <c r="H8">
        <v>5</v>
      </c>
      <c r="I8">
        <v>11.7</v>
      </c>
      <c r="J8" t="s">
        <v>74</v>
      </c>
      <c r="K8">
        <v>287</v>
      </c>
      <c r="L8">
        <v>30</v>
      </c>
      <c r="M8" s="8">
        <v>1</v>
      </c>
    </row>
    <row r="9" spans="1:13" x14ac:dyDescent="0.35">
      <c r="A9" s="1" t="s">
        <v>122</v>
      </c>
      <c r="B9" s="1"/>
      <c r="C9" s="1" t="s">
        <v>18</v>
      </c>
      <c r="D9" s="2">
        <v>176</v>
      </c>
      <c r="E9" s="2">
        <v>134</v>
      </c>
      <c r="F9" s="5">
        <v>43.259297520661157</v>
      </c>
      <c r="G9" s="4">
        <v>69.29133858267717</v>
      </c>
      <c r="H9">
        <v>5</v>
      </c>
      <c r="I9">
        <v>9.3000000000000007</v>
      </c>
      <c r="J9" t="s">
        <v>80</v>
      </c>
      <c r="K9">
        <v>295</v>
      </c>
      <c r="L9">
        <v>38</v>
      </c>
      <c r="M9" s="8">
        <v>1</v>
      </c>
    </row>
    <row r="10" spans="1:13" x14ac:dyDescent="0.35">
      <c r="A10" s="1" t="s">
        <v>124</v>
      </c>
      <c r="B10" s="1"/>
      <c r="C10" s="1" t="s">
        <v>49</v>
      </c>
      <c r="D10" s="2">
        <v>175</v>
      </c>
      <c r="E10" s="2">
        <v>134</v>
      </c>
      <c r="F10" s="5">
        <v>43.755102040816325</v>
      </c>
      <c r="G10" s="4">
        <v>68.897637795275585</v>
      </c>
      <c r="H10">
        <v>5</v>
      </c>
      <c r="I10">
        <v>8.9</v>
      </c>
      <c r="J10" t="s">
        <v>81</v>
      </c>
      <c r="K10">
        <v>295</v>
      </c>
      <c r="L10">
        <v>40</v>
      </c>
      <c r="M10" s="8">
        <v>1</v>
      </c>
    </row>
    <row r="11" spans="1:13" x14ac:dyDescent="0.35">
      <c r="A11" s="1" t="s">
        <v>125</v>
      </c>
      <c r="B11" s="1"/>
      <c r="C11" s="1" t="s">
        <v>50</v>
      </c>
      <c r="D11" s="2">
        <v>172</v>
      </c>
      <c r="E11" s="2">
        <v>118</v>
      </c>
      <c r="F11" s="5">
        <v>39.886425094645752</v>
      </c>
      <c r="G11" s="4">
        <v>67.716535433070874</v>
      </c>
      <c r="H11">
        <v>5</v>
      </c>
      <c r="I11">
        <v>7.7</v>
      </c>
      <c r="J11" t="s">
        <v>82</v>
      </c>
      <c r="K11">
        <v>260</v>
      </c>
      <c r="L11">
        <v>41</v>
      </c>
      <c r="M11" s="8">
        <v>1</v>
      </c>
    </row>
    <row r="12" spans="1:13" x14ac:dyDescent="0.35">
      <c r="A12" s="1" t="s">
        <v>126</v>
      </c>
      <c r="B12" s="1"/>
      <c r="C12" s="1" t="s">
        <v>51</v>
      </c>
      <c r="D12" s="2">
        <v>169</v>
      </c>
      <c r="E12" s="2">
        <v>117</v>
      </c>
      <c r="F12" s="5">
        <v>40.964952207555754</v>
      </c>
      <c r="G12" s="4">
        <v>66.535433070866134</v>
      </c>
      <c r="H12">
        <v>5</v>
      </c>
      <c r="I12">
        <v>6.5</v>
      </c>
      <c r="J12" t="s">
        <v>83</v>
      </c>
      <c r="K12">
        <v>258</v>
      </c>
      <c r="L12">
        <v>42</v>
      </c>
      <c r="M12" s="8">
        <v>1</v>
      </c>
    </row>
    <row r="13" spans="1:13" x14ac:dyDescent="0.35">
      <c r="A13" s="1" t="s">
        <v>85</v>
      </c>
      <c r="B13" s="1"/>
      <c r="C13" s="1" t="s">
        <v>13</v>
      </c>
      <c r="D13" s="2">
        <v>194</v>
      </c>
      <c r="E13" s="2">
        <v>194</v>
      </c>
      <c r="F13" s="5">
        <v>51.546391752577321</v>
      </c>
      <c r="G13" s="4">
        <v>76.377952755905511</v>
      </c>
      <c r="H13">
        <v>6</v>
      </c>
      <c r="I13">
        <v>4.4000000000000004</v>
      </c>
      <c r="J13" t="s">
        <v>63</v>
      </c>
      <c r="K13">
        <v>428</v>
      </c>
      <c r="L13">
        <v>1</v>
      </c>
      <c r="M13" s="8">
        <v>2</v>
      </c>
    </row>
    <row r="14" spans="1:13" x14ac:dyDescent="0.35">
      <c r="A14" s="1" t="s">
        <v>86</v>
      </c>
      <c r="B14" s="1">
        <v>5</v>
      </c>
      <c r="C14" s="1" t="s">
        <v>14</v>
      </c>
      <c r="D14" s="2">
        <v>192</v>
      </c>
      <c r="E14" s="2">
        <v>184</v>
      </c>
      <c r="F14" s="5">
        <v>49.913194444444443</v>
      </c>
      <c r="G14" s="4">
        <v>75.59055118110237</v>
      </c>
      <c r="H14">
        <v>6</v>
      </c>
      <c r="I14">
        <v>3.6</v>
      </c>
      <c r="J14" t="s">
        <v>64</v>
      </c>
      <c r="K14">
        <v>406</v>
      </c>
      <c r="L14">
        <v>2</v>
      </c>
      <c r="M14" s="8">
        <v>3</v>
      </c>
    </row>
    <row r="15" spans="1:13" x14ac:dyDescent="0.35">
      <c r="A15" s="1" t="s">
        <v>87</v>
      </c>
      <c r="B15" s="1">
        <v>1</v>
      </c>
      <c r="C15" s="1" t="s">
        <v>15</v>
      </c>
      <c r="D15" s="2">
        <v>191</v>
      </c>
      <c r="E15" s="2">
        <v>182</v>
      </c>
      <c r="F15" s="5">
        <v>49.888983306378663</v>
      </c>
      <c r="G15" s="4">
        <v>75.196850393700785</v>
      </c>
      <c r="H15">
        <v>6</v>
      </c>
      <c r="I15">
        <v>3.2</v>
      </c>
      <c r="J15" t="s">
        <v>65</v>
      </c>
      <c r="K15">
        <v>401</v>
      </c>
      <c r="L15">
        <v>3</v>
      </c>
      <c r="M15" s="8">
        <v>3</v>
      </c>
    </row>
    <row r="16" spans="1:13" x14ac:dyDescent="0.35">
      <c r="A16" s="1" t="s">
        <v>88</v>
      </c>
      <c r="B16" s="1"/>
      <c r="C16" s="1" t="s">
        <v>16</v>
      </c>
      <c r="D16" s="2">
        <v>191</v>
      </c>
      <c r="E16" s="2">
        <v>182</v>
      </c>
      <c r="F16" s="5">
        <v>49.888983306378663</v>
      </c>
      <c r="G16" s="4">
        <v>75.196850393700785</v>
      </c>
      <c r="H16">
        <v>6</v>
      </c>
      <c r="I16">
        <v>3.2</v>
      </c>
      <c r="J16" t="s">
        <v>65</v>
      </c>
      <c r="K16">
        <v>401</v>
      </c>
      <c r="L16" s="14">
        <v>4</v>
      </c>
      <c r="M16" s="8">
        <v>3</v>
      </c>
    </row>
    <row r="17" spans="1:13" x14ac:dyDescent="0.35">
      <c r="A17" s="1" t="s">
        <v>91</v>
      </c>
      <c r="B17" s="1"/>
      <c r="C17" s="1" t="s">
        <v>19</v>
      </c>
      <c r="D17" s="2">
        <v>190</v>
      </c>
      <c r="E17" s="2">
        <v>183</v>
      </c>
      <c r="F17" s="5">
        <v>50.692520775623272</v>
      </c>
      <c r="G17" s="4">
        <v>74.803149606299215</v>
      </c>
      <c r="H17">
        <v>6</v>
      </c>
      <c r="I17">
        <v>2.8</v>
      </c>
      <c r="J17" t="s">
        <v>66</v>
      </c>
      <c r="K17">
        <v>403</v>
      </c>
      <c r="L17">
        <v>7</v>
      </c>
      <c r="M17" s="8">
        <v>3</v>
      </c>
    </row>
    <row r="18" spans="1:13" x14ac:dyDescent="0.35">
      <c r="A18" s="1" t="s">
        <v>113</v>
      </c>
      <c r="B18" s="1"/>
      <c r="C18" s="1" t="s">
        <v>43</v>
      </c>
      <c r="D18" s="2">
        <v>181</v>
      </c>
      <c r="E18" s="2">
        <v>189</v>
      </c>
      <c r="F18" s="5">
        <v>57.690546686609082</v>
      </c>
      <c r="G18" s="4">
        <v>71.259842519685037</v>
      </c>
      <c r="H18">
        <v>5</v>
      </c>
      <c r="I18">
        <v>11.3</v>
      </c>
      <c r="J18" t="s">
        <v>75</v>
      </c>
      <c r="K18">
        <v>417</v>
      </c>
      <c r="L18">
        <v>29</v>
      </c>
      <c r="M18" s="8">
        <v>3</v>
      </c>
    </row>
    <row r="19" spans="1:13" x14ac:dyDescent="0.35">
      <c r="A19" s="1" t="s">
        <v>92</v>
      </c>
      <c r="B19" s="1">
        <v>1</v>
      </c>
      <c r="C19" s="1" t="s">
        <v>24</v>
      </c>
      <c r="D19" s="2">
        <v>189</v>
      </c>
      <c r="E19" s="2">
        <v>172</v>
      </c>
      <c r="F19" s="5">
        <v>48.150947621847095</v>
      </c>
      <c r="G19" s="4">
        <v>74.409448818897644</v>
      </c>
      <c r="H19">
        <v>6</v>
      </c>
      <c r="I19">
        <v>2.4</v>
      </c>
      <c r="J19" t="s">
        <v>67</v>
      </c>
      <c r="K19">
        <v>379</v>
      </c>
      <c r="L19">
        <v>8</v>
      </c>
      <c r="M19" s="8">
        <v>4</v>
      </c>
    </row>
    <row r="20" spans="1:13" x14ac:dyDescent="0.35">
      <c r="A20" s="1" t="s">
        <v>94</v>
      </c>
      <c r="B20" s="1"/>
      <c r="C20" s="1" t="s">
        <v>21</v>
      </c>
      <c r="D20" s="2">
        <v>188</v>
      </c>
      <c r="E20" s="2">
        <v>165</v>
      </c>
      <c r="F20" s="5">
        <v>46.684019918515169</v>
      </c>
      <c r="G20" s="4">
        <v>74.015748031496059</v>
      </c>
      <c r="H20">
        <v>6</v>
      </c>
      <c r="I20">
        <v>2</v>
      </c>
      <c r="J20" t="s">
        <v>68</v>
      </c>
      <c r="K20">
        <v>364</v>
      </c>
      <c r="L20">
        <v>10</v>
      </c>
      <c r="M20" s="8">
        <v>4</v>
      </c>
    </row>
    <row r="21" spans="1:13" x14ac:dyDescent="0.35">
      <c r="A21" s="1" t="s">
        <v>96</v>
      </c>
      <c r="B21" s="1"/>
      <c r="C21" s="1" t="s">
        <v>27</v>
      </c>
      <c r="D21" s="2">
        <v>187</v>
      </c>
      <c r="E21" s="2">
        <v>175</v>
      </c>
      <c r="F21" s="5">
        <v>50.044324973548001</v>
      </c>
      <c r="G21" s="4">
        <v>73.622047244094489</v>
      </c>
      <c r="H21">
        <v>6</v>
      </c>
      <c r="I21">
        <v>1.6</v>
      </c>
      <c r="J21" t="s">
        <v>69</v>
      </c>
      <c r="K21">
        <v>386</v>
      </c>
      <c r="L21">
        <v>12</v>
      </c>
      <c r="M21" s="8">
        <v>4</v>
      </c>
    </row>
    <row r="22" spans="1:13" x14ac:dyDescent="0.35">
      <c r="A22" s="1" t="s">
        <v>101</v>
      </c>
      <c r="B22" s="1"/>
      <c r="C22" s="1" t="s">
        <v>31</v>
      </c>
      <c r="D22" s="2">
        <v>185</v>
      </c>
      <c r="E22" s="2">
        <v>164</v>
      </c>
      <c r="F22" s="5">
        <v>47.918188458728999</v>
      </c>
      <c r="G22" s="4">
        <v>72.834645669291348</v>
      </c>
      <c r="H22">
        <v>6</v>
      </c>
      <c r="I22">
        <v>0.8</v>
      </c>
      <c r="J22" t="s">
        <v>72</v>
      </c>
      <c r="K22">
        <v>362</v>
      </c>
      <c r="L22">
        <v>17</v>
      </c>
      <c r="M22" s="8">
        <v>4</v>
      </c>
    </row>
    <row r="23" spans="1:13" x14ac:dyDescent="0.35">
      <c r="A23" s="1" t="s">
        <v>103</v>
      </c>
      <c r="B23" s="1"/>
      <c r="C23" s="1" t="s">
        <v>33</v>
      </c>
      <c r="D23" s="2">
        <v>185</v>
      </c>
      <c r="E23" s="2">
        <v>168</v>
      </c>
      <c r="F23" s="5">
        <v>49.086924762600439</v>
      </c>
      <c r="G23" s="4">
        <v>72.834645669291348</v>
      </c>
      <c r="H23">
        <v>6</v>
      </c>
      <c r="I23">
        <v>0.8</v>
      </c>
      <c r="J23" t="s">
        <v>72</v>
      </c>
      <c r="K23">
        <v>370</v>
      </c>
      <c r="L23">
        <v>19</v>
      </c>
      <c r="M23" s="8">
        <v>4</v>
      </c>
    </row>
    <row r="24" spans="1:13" x14ac:dyDescent="0.35">
      <c r="A24" s="1" t="s">
        <v>104</v>
      </c>
      <c r="B24" s="1"/>
      <c r="C24" s="1" t="s">
        <v>34</v>
      </c>
      <c r="D24" s="2">
        <v>185</v>
      </c>
      <c r="E24" s="2">
        <v>168</v>
      </c>
      <c r="F24" s="5">
        <v>49.086924762600439</v>
      </c>
      <c r="G24" s="4">
        <v>72.834645669291348</v>
      </c>
      <c r="H24">
        <v>6</v>
      </c>
      <c r="I24">
        <v>0.8</v>
      </c>
      <c r="J24" t="s">
        <v>72</v>
      </c>
      <c r="K24">
        <v>370</v>
      </c>
      <c r="L24">
        <v>20</v>
      </c>
      <c r="M24" s="8">
        <v>4</v>
      </c>
    </row>
    <row r="25" spans="1:13" x14ac:dyDescent="0.35">
      <c r="A25" s="1" t="s">
        <v>105</v>
      </c>
      <c r="B25" s="1"/>
      <c r="C25" s="1" t="s">
        <v>35</v>
      </c>
      <c r="D25" s="2">
        <v>185</v>
      </c>
      <c r="E25" s="2">
        <v>168</v>
      </c>
      <c r="F25" s="5">
        <v>49.086924762600439</v>
      </c>
      <c r="G25" s="4">
        <v>72.834645669291348</v>
      </c>
      <c r="H25">
        <v>6</v>
      </c>
      <c r="I25">
        <v>0.8</v>
      </c>
      <c r="J25" t="s">
        <v>72</v>
      </c>
      <c r="K25">
        <v>370</v>
      </c>
      <c r="L25">
        <v>21</v>
      </c>
      <c r="M25" s="8">
        <v>4</v>
      </c>
    </row>
    <row r="26" spans="1:13" x14ac:dyDescent="0.35">
      <c r="A26" s="1" t="s">
        <v>106</v>
      </c>
      <c r="B26" s="1"/>
      <c r="C26" s="1" t="s">
        <v>36</v>
      </c>
      <c r="D26" s="2">
        <v>184</v>
      </c>
      <c r="E26" s="2">
        <v>167</v>
      </c>
      <c r="F26" s="5">
        <v>49.326559546313803</v>
      </c>
      <c r="G26" s="4">
        <v>72.440944881889763</v>
      </c>
      <c r="H26">
        <v>6</v>
      </c>
      <c r="I26">
        <v>0.4</v>
      </c>
      <c r="J26" t="s">
        <v>73</v>
      </c>
      <c r="K26">
        <v>368</v>
      </c>
      <c r="L26">
        <v>22</v>
      </c>
      <c r="M26" s="8">
        <v>4</v>
      </c>
    </row>
    <row r="27" spans="1:13" x14ac:dyDescent="0.35">
      <c r="A27" s="1" t="s">
        <v>107</v>
      </c>
      <c r="B27" s="1"/>
      <c r="C27" s="1" t="s">
        <v>37</v>
      </c>
      <c r="D27" s="2">
        <v>184</v>
      </c>
      <c r="E27" s="2">
        <v>174</v>
      </c>
      <c r="F27" s="5">
        <v>51.394139886578444</v>
      </c>
      <c r="G27" s="4">
        <v>72.440944881889763</v>
      </c>
      <c r="H27">
        <v>6</v>
      </c>
      <c r="I27">
        <v>0.4</v>
      </c>
      <c r="J27" t="s">
        <v>73</v>
      </c>
      <c r="K27">
        <v>384</v>
      </c>
      <c r="L27">
        <v>23</v>
      </c>
      <c r="M27" s="8">
        <v>4</v>
      </c>
    </row>
    <row r="28" spans="1:13" x14ac:dyDescent="0.35">
      <c r="A28" s="1" t="s">
        <v>109</v>
      </c>
      <c r="B28" s="1">
        <v>1</v>
      </c>
      <c r="C28" s="1" t="s">
        <v>39</v>
      </c>
      <c r="D28" s="2">
        <v>183</v>
      </c>
      <c r="E28" s="2">
        <v>167</v>
      </c>
      <c r="F28" s="5">
        <v>49.867120547045296</v>
      </c>
      <c r="G28" s="4">
        <v>72.047244094488192</v>
      </c>
      <c r="H28">
        <v>6</v>
      </c>
      <c r="I28">
        <v>0</v>
      </c>
      <c r="J28" t="s">
        <v>70</v>
      </c>
      <c r="K28">
        <v>368</v>
      </c>
      <c r="L28">
        <v>25</v>
      </c>
      <c r="M28" s="8">
        <v>4</v>
      </c>
    </row>
    <row r="29" spans="1:13" x14ac:dyDescent="0.35">
      <c r="A29" s="1" t="s">
        <v>112</v>
      </c>
      <c r="B29" s="1">
        <v>1</v>
      </c>
      <c r="C29" s="1" t="s">
        <v>42</v>
      </c>
      <c r="D29" s="2">
        <v>182</v>
      </c>
      <c r="E29" s="2">
        <v>162</v>
      </c>
      <c r="F29" s="5">
        <v>48.907136819224732</v>
      </c>
      <c r="G29" s="4">
        <v>71.653543307086608</v>
      </c>
      <c r="H29">
        <v>5</v>
      </c>
      <c r="I29">
        <v>11.7</v>
      </c>
      <c r="J29" t="s">
        <v>74</v>
      </c>
      <c r="K29">
        <v>357</v>
      </c>
      <c r="L29">
        <v>28</v>
      </c>
      <c r="M29" s="8">
        <v>4</v>
      </c>
    </row>
    <row r="30" spans="1:13" x14ac:dyDescent="0.35">
      <c r="A30" s="1" t="s">
        <v>116</v>
      </c>
      <c r="B30" s="1">
        <v>2</v>
      </c>
      <c r="C30" s="1" t="s">
        <v>31</v>
      </c>
      <c r="D30" s="2">
        <v>180</v>
      </c>
      <c r="E30" s="2">
        <v>174</v>
      </c>
      <c r="F30" s="5">
        <v>53.703703703703702</v>
      </c>
      <c r="G30" s="4">
        <v>70.866141732283467</v>
      </c>
      <c r="H30">
        <v>5</v>
      </c>
      <c r="I30">
        <v>10.9</v>
      </c>
      <c r="J30" t="s">
        <v>76</v>
      </c>
      <c r="K30">
        <v>384</v>
      </c>
      <c r="L30">
        <v>32</v>
      </c>
      <c r="M30" s="8">
        <v>4</v>
      </c>
    </row>
    <row r="31" spans="1:13" x14ac:dyDescent="0.35">
      <c r="A31" s="1" t="s">
        <v>119</v>
      </c>
      <c r="B31" s="1"/>
      <c r="C31" s="1" t="s">
        <v>20</v>
      </c>
      <c r="D31" s="2">
        <v>178</v>
      </c>
      <c r="E31" s="2">
        <v>176</v>
      </c>
      <c r="F31" s="5">
        <v>55.548541850776424</v>
      </c>
      <c r="G31" s="4">
        <v>70.078740157480311</v>
      </c>
      <c r="H31">
        <v>5</v>
      </c>
      <c r="I31">
        <v>10.1</v>
      </c>
      <c r="J31" t="s">
        <v>78</v>
      </c>
      <c r="K31">
        <v>388</v>
      </c>
      <c r="L31">
        <v>35</v>
      </c>
      <c r="M31" s="8">
        <v>4</v>
      </c>
    </row>
    <row r="32" spans="1:13" x14ac:dyDescent="0.35">
      <c r="A32" s="1" t="s">
        <v>123</v>
      </c>
      <c r="B32" s="1">
        <v>2</v>
      </c>
      <c r="C32" s="1" t="s">
        <v>39</v>
      </c>
      <c r="D32" s="2">
        <v>175</v>
      </c>
      <c r="E32" s="2">
        <v>163</v>
      </c>
      <c r="F32" s="5">
        <v>53.224489795918366</v>
      </c>
      <c r="G32" s="4">
        <v>68.897637795275585</v>
      </c>
      <c r="H32">
        <v>5</v>
      </c>
      <c r="I32">
        <v>8.9</v>
      </c>
      <c r="J32" t="s">
        <v>81</v>
      </c>
      <c r="K32">
        <v>359</v>
      </c>
      <c r="L32">
        <v>39</v>
      </c>
      <c r="M32" s="8">
        <v>4</v>
      </c>
    </row>
    <row r="33" spans="1:13" x14ac:dyDescent="0.35">
      <c r="A33" s="1" t="s">
        <v>89</v>
      </c>
      <c r="B33" s="1"/>
      <c r="C33" s="1" t="s">
        <v>22</v>
      </c>
      <c r="D33" s="2">
        <v>190</v>
      </c>
      <c r="E33" s="2">
        <v>206</v>
      </c>
      <c r="F33" s="5">
        <v>57.063711911357338</v>
      </c>
      <c r="G33" s="4">
        <v>74.803149606299215</v>
      </c>
      <c r="H33">
        <v>6</v>
      </c>
      <c r="I33">
        <v>2.8</v>
      </c>
      <c r="J33" t="s">
        <v>66</v>
      </c>
      <c r="K33">
        <v>454</v>
      </c>
      <c r="L33">
        <v>5</v>
      </c>
      <c r="M33" s="8">
        <v>5</v>
      </c>
    </row>
    <row r="34" spans="1:13" x14ac:dyDescent="0.35">
      <c r="A34" s="1" t="s">
        <v>108</v>
      </c>
      <c r="B34" s="1"/>
      <c r="C34" s="1" t="s">
        <v>38</v>
      </c>
      <c r="D34" s="2">
        <v>184</v>
      </c>
      <c r="E34" s="2">
        <v>200</v>
      </c>
      <c r="F34" s="5">
        <v>59.073724007561438</v>
      </c>
      <c r="G34" s="4">
        <v>72.440944881889763</v>
      </c>
      <c r="H34">
        <v>6</v>
      </c>
      <c r="I34">
        <v>0.4</v>
      </c>
      <c r="J34" t="s">
        <v>73</v>
      </c>
      <c r="K34">
        <v>441</v>
      </c>
      <c r="L34">
        <v>24</v>
      </c>
      <c r="M34" s="8">
        <v>5</v>
      </c>
    </row>
    <row r="35" spans="1:13" x14ac:dyDescent="0.35">
      <c r="A35" s="1" t="s">
        <v>90</v>
      </c>
      <c r="B35" s="1"/>
      <c r="C35" s="1" t="s">
        <v>23</v>
      </c>
      <c r="D35" s="2">
        <v>190</v>
      </c>
      <c r="E35" s="2">
        <v>158</v>
      </c>
      <c r="F35" s="5">
        <v>43.767313019390578</v>
      </c>
      <c r="G35" s="4">
        <v>74.803149606299215</v>
      </c>
      <c r="H35">
        <v>6</v>
      </c>
      <c r="I35">
        <v>2.8</v>
      </c>
      <c r="J35" t="s">
        <v>66</v>
      </c>
      <c r="K35">
        <v>348</v>
      </c>
      <c r="L35">
        <v>6</v>
      </c>
      <c r="M35" s="8">
        <v>6</v>
      </c>
    </row>
    <row r="36" spans="1:13" x14ac:dyDescent="0.35">
      <c r="A36" s="1" t="s">
        <v>93</v>
      </c>
      <c r="B36" s="1"/>
      <c r="C36" s="1" t="s">
        <v>25</v>
      </c>
      <c r="D36" s="2">
        <v>188</v>
      </c>
      <c r="E36" s="2">
        <v>154</v>
      </c>
      <c r="F36" s="5">
        <v>43.571751923947488</v>
      </c>
      <c r="G36" s="4">
        <v>74.015748031496059</v>
      </c>
      <c r="H36">
        <v>6</v>
      </c>
      <c r="I36">
        <v>2</v>
      </c>
      <c r="J36" t="s">
        <v>68</v>
      </c>
      <c r="K36">
        <v>340</v>
      </c>
      <c r="L36">
        <v>9</v>
      </c>
      <c r="M36" s="8">
        <v>6</v>
      </c>
    </row>
    <row r="37" spans="1:13" x14ac:dyDescent="0.35">
      <c r="A37" s="1" t="s">
        <v>97</v>
      </c>
      <c r="B37" s="1"/>
      <c r="C37" s="1" t="s">
        <v>28</v>
      </c>
      <c r="D37" s="2">
        <v>187</v>
      </c>
      <c r="E37" s="2">
        <v>155</v>
      </c>
      <c r="F37" s="5">
        <v>44.324973547999662</v>
      </c>
      <c r="G37" s="4">
        <v>73.622047244094489</v>
      </c>
      <c r="H37">
        <v>6</v>
      </c>
      <c r="I37">
        <v>1.6</v>
      </c>
      <c r="J37" t="s">
        <v>69</v>
      </c>
      <c r="K37">
        <v>342</v>
      </c>
      <c r="L37">
        <v>13</v>
      </c>
      <c r="M37" s="8">
        <v>6</v>
      </c>
    </row>
    <row r="38" spans="1:13" x14ac:dyDescent="0.35">
      <c r="A38" s="1" t="s">
        <v>98</v>
      </c>
      <c r="B38" s="1"/>
      <c r="C38" s="1" t="s">
        <v>29</v>
      </c>
      <c r="D38" s="2">
        <v>187</v>
      </c>
      <c r="E38" s="2">
        <v>145</v>
      </c>
      <c r="F38" s="5">
        <v>41.465297835225485</v>
      </c>
      <c r="G38" s="4">
        <v>73.622047244094489</v>
      </c>
      <c r="H38">
        <v>6</v>
      </c>
      <c r="I38">
        <v>1.6</v>
      </c>
      <c r="J38" t="s">
        <v>69</v>
      </c>
      <c r="K38">
        <v>320</v>
      </c>
      <c r="L38">
        <v>14</v>
      </c>
      <c r="M38" s="8">
        <v>6</v>
      </c>
    </row>
    <row r="39" spans="1:13" x14ac:dyDescent="0.35">
      <c r="A39" s="1" t="s">
        <v>99</v>
      </c>
      <c r="B39" s="1"/>
      <c r="C39" s="1" t="s">
        <v>30</v>
      </c>
      <c r="D39" s="2">
        <v>183</v>
      </c>
      <c r="E39" s="2">
        <v>148</v>
      </c>
      <c r="F39" s="5">
        <v>44.193615814147932</v>
      </c>
      <c r="G39" s="4">
        <v>72.047244094488192</v>
      </c>
      <c r="H39">
        <v>6</v>
      </c>
      <c r="I39">
        <v>0</v>
      </c>
      <c r="J39" t="s">
        <v>70</v>
      </c>
      <c r="K39">
        <v>326</v>
      </c>
      <c r="L39">
        <v>15</v>
      </c>
      <c r="M39" s="8">
        <v>6</v>
      </c>
    </row>
    <row r="40" spans="1:13" x14ac:dyDescent="0.35">
      <c r="A40" s="1" t="s">
        <v>115</v>
      </c>
      <c r="B40" s="1"/>
      <c r="C40" s="1" t="s">
        <v>45</v>
      </c>
      <c r="D40" s="2">
        <v>181</v>
      </c>
      <c r="E40" s="2">
        <v>146</v>
      </c>
      <c r="F40" s="5">
        <v>44.565184212936117</v>
      </c>
      <c r="G40" s="4">
        <v>71.259842519685037</v>
      </c>
      <c r="H40">
        <v>5</v>
      </c>
      <c r="I40">
        <v>11.3</v>
      </c>
      <c r="J40" t="s">
        <v>75</v>
      </c>
      <c r="K40">
        <v>322</v>
      </c>
      <c r="L40">
        <v>31</v>
      </c>
      <c r="M40" s="8">
        <v>6</v>
      </c>
    </row>
    <row r="41" spans="1:13" x14ac:dyDescent="0.35">
      <c r="A41" s="1" t="s">
        <v>117</v>
      </c>
      <c r="C41" s="1" t="s">
        <v>42</v>
      </c>
      <c r="D41" s="2">
        <v>180</v>
      </c>
      <c r="E41" s="2">
        <v>148</v>
      </c>
      <c r="F41" s="5">
        <v>45.67901234567902</v>
      </c>
      <c r="G41" s="4">
        <v>70.866141732283467</v>
      </c>
      <c r="H41">
        <v>5</v>
      </c>
      <c r="I41">
        <v>10.9</v>
      </c>
      <c r="J41" t="s">
        <v>76</v>
      </c>
      <c r="K41">
        <v>326</v>
      </c>
      <c r="L41">
        <v>33</v>
      </c>
      <c r="M41" s="8">
        <v>6</v>
      </c>
    </row>
    <row r="42" spans="1:13" x14ac:dyDescent="0.35">
      <c r="A42" s="1" t="s">
        <v>118</v>
      </c>
      <c r="B42" s="1"/>
      <c r="C42" s="1" t="s">
        <v>46</v>
      </c>
      <c r="D42" s="2">
        <v>179</v>
      </c>
      <c r="E42" s="2">
        <v>152</v>
      </c>
      <c r="F42" s="5">
        <v>47.439218501295215</v>
      </c>
      <c r="G42" s="4">
        <v>70.472440944881896</v>
      </c>
      <c r="H42">
        <v>5</v>
      </c>
      <c r="I42">
        <v>10.5</v>
      </c>
      <c r="J42" t="s">
        <v>77</v>
      </c>
      <c r="K42">
        <v>335</v>
      </c>
      <c r="L42">
        <v>34</v>
      </c>
      <c r="M42" s="8">
        <v>6</v>
      </c>
    </row>
    <row r="43" spans="1:13" x14ac:dyDescent="0.35">
      <c r="A43" s="1" t="s">
        <v>120</v>
      </c>
      <c r="B43" s="1"/>
      <c r="C43" s="1" t="s">
        <v>47</v>
      </c>
      <c r="D43" s="2">
        <v>177</v>
      </c>
      <c r="E43" s="2">
        <v>159</v>
      </c>
      <c r="F43" s="5">
        <v>50.751699703150436</v>
      </c>
      <c r="G43" s="4">
        <v>69.685039370078741</v>
      </c>
      <c r="H43">
        <v>5</v>
      </c>
      <c r="I43">
        <v>9.6999999999999993</v>
      </c>
      <c r="J43" t="s">
        <v>79</v>
      </c>
      <c r="K43">
        <v>351</v>
      </c>
      <c r="L43">
        <v>36</v>
      </c>
      <c r="M43" s="8">
        <v>6</v>
      </c>
    </row>
    <row r="44" spans="1:13" x14ac:dyDescent="0.35">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x14ac:dyDescent="0.3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B3E5-F73A-4522-A23E-9F2B4CD54AC9}">
  <dimension ref="A1:AC57"/>
  <sheetViews>
    <sheetView zoomScaleNormal="100" workbookViewId="0">
      <pane xSplit="1" ySplit="3" topLeftCell="G24" activePane="bottomRight" state="frozen"/>
      <selection pane="topRight" activeCell="B1" sqref="B1"/>
      <selection pane="bottomLeft" activeCell="A4" sqref="A4"/>
      <selection pane="bottomRight" activeCell="K38" sqref="K38"/>
    </sheetView>
  </sheetViews>
  <sheetFormatPr defaultRowHeight="14.5" outlineLevelCol="1" x14ac:dyDescent="0.35"/>
  <cols>
    <col min="1" max="1" width="21.1796875" customWidth="1"/>
    <col min="2" max="6" width="21.1796875" hidden="1" customWidth="1" outlineLevel="1"/>
    <col min="7" max="7" width="21.1796875" customWidth="1" collapsed="1"/>
    <col min="8" max="10" width="21.1796875" customWidth="1"/>
    <col min="13" max="13" width="11.26953125" bestFit="1" customWidth="1"/>
    <col min="14" max="14" width="8.7265625" style="4"/>
    <col min="21" max="21" width="9.54296875" customWidth="1"/>
    <col min="25" max="25" width="17.81640625" customWidth="1"/>
  </cols>
  <sheetData>
    <row r="1" spans="1:29" x14ac:dyDescent="0.35">
      <c r="C1" t="s">
        <v>174</v>
      </c>
      <c r="K1" t="s">
        <v>234</v>
      </c>
    </row>
    <row r="2" spans="1:29" x14ac:dyDescent="0.35">
      <c r="C2" s="17" t="s">
        <v>162</v>
      </c>
      <c r="D2" s="17"/>
      <c r="E2" s="17"/>
      <c r="F2" s="17"/>
      <c r="G2" s="17"/>
      <c r="H2" s="17"/>
      <c r="S2" t="e">
        <f>MAX(S4:S45)</f>
        <v>#N/A</v>
      </c>
      <c r="T2" t="e">
        <f>MAX(T4:T45)</f>
        <v>#N/A</v>
      </c>
      <c r="U2" t="e">
        <f>MAX(U4:U45)</f>
        <v>#N/A</v>
      </c>
    </row>
    <row r="3" spans="1:29" x14ac:dyDescent="0.35">
      <c r="A3" t="s">
        <v>3</v>
      </c>
      <c r="B3" t="s">
        <v>11</v>
      </c>
      <c r="C3" t="s">
        <v>131</v>
      </c>
      <c r="D3" t="s">
        <v>163</v>
      </c>
      <c r="E3" t="s">
        <v>175</v>
      </c>
      <c r="F3" t="s">
        <v>185</v>
      </c>
      <c r="G3" t="s">
        <v>230</v>
      </c>
      <c r="H3" t="s">
        <v>238</v>
      </c>
      <c r="I3" t="s">
        <v>177</v>
      </c>
      <c r="J3" t="s">
        <v>239</v>
      </c>
      <c r="K3" t="s">
        <v>5</v>
      </c>
      <c r="L3" t="s">
        <v>4</v>
      </c>
      <c r="M3" t="s">
        <v>26</v>
      </c>
      <c r="N3" s="4" t="s">
        <v>6</v>
      </c>
      <c r="O3" t="s">
        <v>7</v>
      </c>
      <c r="P3" t="s">
        <v>8</v>
      </c>
      <c r="Q3" t="s">
        <v>9</v>
      </c>
      <c r="R3" t="s">
        <v>10</v>
      </c>
      <c r="S3" t="s">
        <v>171</v>
      </c>
      <c r="T3" t="s">
        <v>172</v>
      </c>
      <c r="U3" t="s">
        <v>173</v>
      </c>
      <c r="V3" t="s">
        <v>216</v>
      </c>
      <c r="W3" s="14" t="s">
        <v>182</v>
      </c>
      <c r="X3" t="s">
        <v>217</v>
      </c>
      <c r="Y3" t="s">
        <v>219</v>
      </c>
      <c r="AA3">
        <f>SUM(AA4:AA10)</f>
        <v>33</v>
      </c>
      <c r="AB3">
        <f>AA3-AA5</f>
        <v>18</v>
      </c>
      <c r="AC3">
        <f>AB3/AA3</f>
        <v>0.54545454545454541</v>
      </c>
    </row>
    <row r="4" spans="1:29" x14ac:dyDescent="0.35">
      <c r="A4" s="1" t="s">
        <v>86</v>
      </c>
      <c r="B4" s="1">
        <v>8</v>
      </c>
      <c r="C4" s="1" t="s">
        <v>14</v>
      </c>
      <c r="D4" s="1" t="s">
        <v>14</v>
      </c>
      <c r="E4" s="1" t="s">
        <v>14</v>
      </c>
      <c r="F4" s="1" t="s">
        <v>14</v>
      </c>
      <c r="G4" s="1" t="s">
        <v>14</v>
      </c>
      <c r="H4" s="1" t="s">
        <v>14</v>
      </c>
      <c r="I4" s="1">
        <f>_xlfn.XLOOKUP(H4,'rank lookup'!$A$1:$A$21,'rank lookup'!$B$1:$B$21,,0)</f>
        <v>1</v>
      </c>
      <c r="J4" s="1"/>
      <c r="K4" s="25">
        <v>192</v>
      </c>
      <c r="L4" s="25">
        <v>174</v>
      </c>
      <c r="M4" s="5">
        <f>L4/(K4*K4)*10000</f>
        <v>47.200520833333329</v>
      </c>
      <c r="N4" s="4">
        <f>CONVERT(K4,"cm","in")</f>
        <v>75.59055118110237</v>
      </c>
      <c r="O4">
        <f>_xlfn.FLOOR.MATH(N4/12)</f>
        <v>6</v>
      </c>
      <c r="P4">
        <f>ROUND(N4-O4*12,1)</f>
        <v>3.6</v>
      </c>
      <c r="Q4" t="str">
        <f>O4&amp;"' "&amp;P4&amp;""""</f>
        <v>6' 3.6"</v>
      </c>
      <c r="R4">
        <f>ROUND(CONVERT(L4,"kg","lbm"),0)</f>
        <v>384</v>
      </c>
      <c r="S4">
        <f>_xlfn.RANK.EQ(K4,K$4:K$45)</f>
        <v>2</v>
      </c>
      <c r="T4">
        <f>_xlfn.RANK.EQ(L4,L$4:L$45)</f>
        <v>10</v>
      </c>
      <c r="U4">
        <f>_xlfn.RANK.EQ(M4,M$4:M$45)</f>
        <v>19</v>
      </c>
      <c r="V4">
        <f>_xlfn.XLOOKUP(A4,'January 2023 Data'!$A$4:$A$49,'January 2023 Data'!$H$4:$H$49,,0)</f>
        <v>192</v>
      </c>
      <c r="W4">
        <f>K4-V4</f>
        <v>0</v>
      </c>
      <c r="X4" t="s">
        <v>218</v>
      </c>
      <c r="Y4" t="str">
        <f>A4&amp;", "&amp;X4</f>
        <v>Terunofuji, OUT</v>
      </c>
      <c r="Z4" cm="1">
        <f t="array" ref="Z4:Z10">_xlfn.SEQUENCE(7,1,-1)</f>
        <v>-1</v>
      </c>
      <c r="AA4">
        <f>COUNTIF(W$4:W$45,Z4)</f>
        <v>6</v>
      </c>
    </row>
    <row r="5" spans="1:29" x14ac:dyDescent="0.35">
      <c r="A5" s="1" t="s">
        <v>123</v>
      </c>
      <c r="B5" s="1">
        <v>2</v>
      </c>
      <c r="C5" s="1" t="s">
        <v>39</v>
      </c>
      <c r="D5" s="1" t="s">
        <v>39</v>
      </c>
      <c r="E5" s="1" t="s">
        <v>39</v>
      </c>
      <c r="F5" s="1" t="s">
        <v>39</v>
      </c>
      <c r="G5" s="1" t="s">
        <v>39</v>
      </c>
      <c r="H5" s="1" t="s">
        <v>39</v>
      </c>
      <c r="I5" s="1">
        <f>_xlfn.XLOOKUP(H5,'rank lookup'!$A$1:$A$21,'rank lookup'!$B$1:$B$21,,0)</f>
        <v>2</v>
      </c>
      <c r="J5" s="1"/>
      <c r="K5" s="23">
        <v>175</v>
      </c>
      <c r="L5" s="23">
        <v>165</v>
      </c>
      <c r="M5" s="5">
        <f>L5/(K5*K5)*10000</f>
        <v>53.877551020408163</v>
      </c>
      <c r="N5" s="4">
        <f>CONVERT(K5,"cm","in")</f>
        <v>68.897637795275585</v>
      </c>
      <c r="O5">
        <f>_xlfn.FLOOR.MATH(N5/12)</f>
        <v>5</v>
      </c>
      <c r="P5">
        <f>ROUND(N5-O5*12,1)</f>
        <v>8.9</v>
      </c>
      <c r="Q5" t="str">
        <f>O5&amp;"' "&amp;P5&amp;""""</f>
        <v>5' 8.9"</v>
      </c>
      <c r="R5">
        <f>ROUND(CONVERT(L5,"kg","lbm"),0)</f>
        <v>364</v>
      </c>
      <c r="S5">
        <f t="shared" ref="S5:U45" si="0">_xlfn.RANK.EQ(K5,K$4:K$45)</f>
        <v>35</v>
      </c>
      <c r="T5">
        <f t="shared" si="0"/>
        <v>17</v>
      </c>
      <c r="U5">
        <f t="shared" si="0"/>
        <v>4</v>
      </c>
      <c r="V5">
        <f>_xlfn.XLOOKUP(A5,'January 2023 Data'!$A$4:$A$49,'January 2023 Data'!$H$4:$H$49,,0)</f>
        <v>175</v>
      </c>
      <c r="W5">
        <f t="shared" ref="W5:W53" si="1">K5-V5</f>
        <v>0</v>
      </c>
      <c r="X5" t="s">
        <v>218</v>
      </c>
      <c r="Y5" t="str">
        <f t="shared" ref="Y5:Y57" si="2">A5&amp;", "&amp;X5</f>
        <v>Takakeisho, OUT</v>
      </c>
      <c r="Z5">
        <v>0</v>
      </c>
      <c r="AA5">
        <f t="shared" ref="AA5:AA10" si="3">COUNTIF(W$4:W$45,Z5)</f>
        <v>15</v>
      </c>
    </row>
    <row r="6" spans="1:29" ht="25" x14ac:dyDescent="0.35">
      <c r="A6" s="1" t="s">
        <v>240</v>
      </c>
      <c r="B6" s="1"/>
      <c r="C6" s="1" t="s">
        <v>42</v>
      </c>
      <c r="D6" s="1" t="s">
        <v>42</v>
      </c>
      <c r="E6" s="1" t="s">
        <v>42</v>
      </c>
      <c r="F6" s="1" t="s">
        <v>31</v>
      </c>
      <c r="G6" s="1" t="s">
        <v>31</v>
      </c>
      <c r="H6" s="1" t="s">
        <v>39</v>
      </c>
      <c r="I6" s="1">
        <f>_xlfn.XLOOKUP(H6,'rank lookup'!$A$1:$A$21,'rank lookup'!$B$1:$B$21,,0)</f>
        <v>2</v>
      </c>
      <c r="J6" s="1" t="s">
        <v>241</v>
      </c>
      <c r="K6" s="23">
        <v>186</v>
      </c>
      <c r="L6" s="23">
        <v>143</v>
      </c>
      <c r="M6" s="5">
        <f>L6/(K6*K6)*10000</f>
        <v>41.334258295756733</v>
      </c>
      <c r="N6" s="4">
        <f>CONVERT(K6,"cm","in")</f>
        <v>73.228346456692918</v>
      </c>
      <c r="O6">
        <f>_xlfn.FLOOR.MATH(N6/12)</f>
        <v>6</v>
      </c>
      <c r="P6">
        <f>ROUND(N6-O6*12,1)</f>
        <v>1.2</v>
      </c>
      <c r="Q6" t="str">
        <f>O6&amp;"' "&amp;P6&amp;""""</f>
        <v>6' 1.2"</v>
      </c>
      <c r="R6">
        <f>ROUND(CONVERT(L6,"kg","lbm"),0)</f>
        <v>315</v>
      </c>
      <c r="S6">
        <f t="shared" si="0"/>
        <v>15</v>
      </c>
      <c r="T6">
        <f t="shared" si="0"/>
        <v>30</v>
      </c>
      <c r="U6">
        <f t="shared" si="0"/>
        <v>35</v>
      </c>
      <c r="V6" t="e">
        <f>_xlfn.XLOOKUP(A6,'January 2023 Data'!$A$4:$A$49,'January 2023 Data'!$H$4:$H$49,,0)</f>
        <v>#N/A</v>
      </c>
      <c r="W6" t="e">
        <f t="shared" si="1"/>
        <v>#N/A</v>
      </c>
      <c r="X6" s="21" t="s">
        <v>220</v>
      </c>
      <c r="Y6" t="str">
        <f t="shared" si="2"/>
        <v>Kirishima, 7-6</v>
      </c>
      <c r="Z6">
        <v>1</v>
      </c>
      <c r="AA6">
        <f t="shared" si="3"/>
        <v>9</v>
      </c>
    </row>
    <row r="7" spans="1:29" x14ac:dyDescent="0.35">
      <c r="A7" s="1" t="s">
        <v>95</v>
      </c>
      <c r="B7" s="1"/>
      <c r="C7" s="1" t="s">
        <v>31</v>
      </c>
      <c r="D7" s="1" t="s">
        <v>31</v>
      </c>
      <c r="E7" s="1" t="s">
        <v>31</v>
      </c>
      <c r="F7" s="1" t="s">
        <v>31</v>
      </c>
      <c r="G7" s="1" t="s">
        <v>31</v>
      </c>
      <c r="H7" s="1" t="s">
        <v>31</v>
      </c>
      <c r="I7" s="1">
        <f>_xlfn.XLOOKUP(H7,'rank lookup'!$A$1:$A$21,'rank lookup'!$B$1:$B$21,,0)</f>
        <v>3</v>
      </c>
      <c r="J7" s="1"/>
      <c r="K7" s="23">
        <v>188</v>
      </c>
      <c r="L7" s="23">
        <v>142</v>
      </c>
      <c r="M7" s="5">
        <f>L7/(K7*K7)*10000</f>
        <v>40.176550475328199</v>
      </c>
      <c r="N7" s="4">
        <f>CONVERT(K7,"cm","in")</f>
        <v>74.015748031496059</v>
      </c>
      <c r="O7">
        <f>_xlfn.FLOOR.MATH(N7/12)</f>
        <v>6</v>
      </c>
      <c r="P7">
        <f>ROUND(N7-O7*12,1)</f>
        <v>2</v>
      </c>
      <c r="Q7" t="str">
        <f>O7&amp;"' "&amp;P7&amp;""""</f>
        <v>6' 2"</v>
      </c>
      <c r="R7">
        <f>ROUND(CONVERT(L7,"kg","lbm"),0)</f>
        <v>313</v>
      </c>
      <c r="S7">
        <f t="shared" si="0"/>
        <v>10</v>
      </c>
      <c r="T7">
        <f t="shared" si="0"/>
        <v>32</v>
      </c>
      <c r="U7">
        <f t="shared" si="0"/>
        <v>37</v>
      </c>
      <c r="V7">
        <f>_xlfn.XLOOKUP(A7,'January 2023 Data'!$A$4:$A$49,'January 2023 Data'!$H$4:$H$49,,0)</f>
        <v>185</v>
      </c>
      <c r="W7">
        <f t="shared" si="1"/>
        <v>3</v>
      </c>
      <c r="X7" s="22" t="s">
        <v>221</v>
      </c>
      <c r="Y7" t="str">
        <f t="shared" si="2"/>
        <v>Hoshoryu, 9-4</v>
      </c>
      <c r="Z7">
        <v>2</v>
      </c>
      <c r="AA7">
        <f t="shared" si="3"/>
        <v>2</v>
      </c>
    </row>
    <row r="8" spans="1:29" x14ac:dyDescent="0.35">
      <c r="A8" s="1" t="s">
        <v>100</v>
      </c>
      <c r="B8" s="1"/>
      <c r="C8" s="1" t="s">
        <v>141</v>
      </c>
      <c r="D8" s="1" t="s">
        <v>139</v>
      </c>
      <c r="E8" s="1" t="s">
        <v>42</v>
      </c>
      <c r="F8" s="1" t="s">
        <v>42</v>
      </c>
      <c r="G8" s="1" t="s">
        <v>31</v>
      </c>
      <c r="H8" s="1" t="s">
        <v>31</v>
      </c>
      <c r="I8" s="1">
        <f>_xlfn.XLOOKUP(H8,'rank lookup'!$A$1:$A$21,'rank lookup'!$B$1:$B$21,,0)</f>
        <v>3</v>
      </c>
      <c r="J8" s="1"/>
      <c r="K8" s="23">
        <v>187</v>
      </c>
      <c r="L8" s="23">
        <v>147</v>
      </c>
      <c r="M8" s="5">
        <f>L8/(K8*K8)*10000</f>
        <v>42.03723297778032</v>
      </c>
      <c r="N8" s="4">
        <f>CONVERT(K8,"cm","in")</f>
        <v>73.622047244094489</v>
      </c>
      <c r="O8">
        <f>_xlfn.FLOOR.MATH(N8/12)</f>
        <v>6</v>
      </c>
      <c r="P8">
        <f>ROUND(N8-O8*12,1)</f>
        <v>1.6</v>
      </c>
      <c r="Q8" t="str">
        <f>O8&amp;"' "&amp;P8&amp;""""</f>
        <v>6' 1.6"</v>
      </c>
      <c r="R8">
        <f>ROUND(CONVERT(L8,"kg","lbm"),0)</f>
        <v>324</v>
      </c>
      <c r="S8">
        <f t="shared" si="0"/>
        <v>14</v>
      </c>
      <c r="T8">
        <f t="shared" si="0"/>
        <v>29</v>
      </c>
      <c r="U8">
        <f t="shared" si="0"/>
        <v>34</v>
      </c>
      <c r="V8">
        <f>_xlfn.XLOOKUP(A8,'January 2023 Data'!$A$4:$A$49,'January 2023 Data'!$H$4:$H$49,,0)</f>
        <v>186</v>
      </c>
      <c r="W8">
        <f t="shared" si="1"/>
        <v>1</v>
      </c>
      <c r="X8" s="22" t="s">
        <v>222</v>
      </c>
      <c r="Y8" t="str">
        <f t="shared" si="2"/>
        <v>Wakamotoharu, 10-3</v>
      </c>
      <c r="Z8">
        <v>3</v>
      </c>
      <c r="AA8">
        <f t="shared" si="3"/>
        <v>1</v>
      </c>
    </row>
    <row r="9" spans="1:29" x14ac:dyDescent="0.35">
      <c r="A9" s="1" t="s">
        <v>112</v>
      </c>
      <c r="B9" s="1">
        <v>1</v>
      </c>
      <c r="C9" s="1" t="s">
        <v>31</v>
      </c>
      <c r="D9" s="1" t="s">
        <v>42</v>
      </c>
      <c r="E9" s="1" t="s">
        <v>132</v>
      </c>
      <c r="F9" s="1" t="s">
        <v>42</v>
      </c>
      <c r="G9" s="1" t="s">
        <v>31</v>
      </c>
      <c r="H9" s="1" t="s">
        <v>31</v>
      </c>
      <c r="I9" s="1">
        <f>_xlfn.XLOOKUP(H9,'rank lookup'!$A$1:$A$21,'rank lookup'!$B$1:$B$21,,0)</f>
        <v>3</v>
      </c>
      <c r="J9" s="1"/>
      <c r="K9" s="23">
        <v>182</v>
      </c>
      <c r="L9" s="23">
        <v>164</v>
      </c>
      <c r="M9" s="5">
        <f>L9/(K9*K9)*10000</f>
        <v>49.510928631807751</v>
      </c>
      <c r="N9" s="4">
        <f>CONVERT(K9,"cm","in")</f>
        <v>71.653543307086608</v>
      </c>
      <c r="O9">
        <f>_xlfn.FLOOR.MATH(N9/12)</f>
        <v>5</v>
      </c>
      <c r="P9">
        <f>ROUND(N9-O9*12,1)</f>
        <v>11.7</v>
      </c>
      <c r="Q9" t="str">
        <f>O9&amp;"' "&amp;P9&amp;""""</f>
        <v>5' 11.7"</v>
      </c>
      <c r="R9">
        <f>ROUND(CONVERT(L9,"kg","lbm"),0)</f>
        <v>362</v>
      </c>
      <c r="S9">
        <f t="shared" si="0"/>
        <v>27</v>
      </c>
      <c r="T9">
        <f t="shared" si="0"/>
        <v>19</v>
      </c>
      <c r="U9">
        <f t="shared" si="0"/>
        <v>12</v>
      </c>
      <c r="V9">
        <f>_xlfn.XLOOKUP(A9,'January 2023 Data'!$A$4:$A$49,'January 2023 Data'!$H$4:$H$49,,0)</f>
        <v>182</v>
      </c>
      <c r="W9">
        <f t="shared" si="1"/>
        <v>0</v>
      </c>
      <c r="X9" s="22" t="s">
        <v>221</v>
      </c>
      <c r="Y9" t="str">
        <f t="shared" si="2"/>
        <v>Daieisho, 9-4</v>
      </c>
      <c r="Z9">
        <v>4</v>
      </c>
      <c r="AA9">
        <f t="shared" si="3"/>
        <v>0</v>
      </c>
    </row>
    <row r="10" spans="1:29" x14ac:dyDescent="0.35">
      <c r="A10" s="1" t="s">
        <v>94</v>
      </c>
      <c r="B10" s="1"/>
      <c r="C10" s="1" t="s">
        <v>136</v>
      </c>
      <c r="D10" s="1" t="s">
        <v>132</v>
      </c>
      <c r="E10" s="1" t="s">
        <v>42</v>
      </c>
      <c r="F10" s="1" t="s">
        <v>42</v>
      </c>
      <c r="G10" s="1" t="s">
        <v>42</v>
      </c>
      <c r="H10" s="1" t="s">
        <v>42</v>
      </c>
      <c r="I10" s="1">
        <f>_xlfn.XLOOKUP(H10,'rank lookup'!$A$1:$A$21,'rank lookup'!$B$1:$B$21,,0)</f>
        <v>4</v>
      </c>
      <c r="J10" s="1"/>
      <c r="K10" s="23">
        <v>189</v>
      </c>
      <c r="L10" s="23">
        <v>176</v>
      </c>
      <c r="M10" s="5">
        <f>L10/(K10*K10)*10000</f>
        <v>49.270737101424935</v>
      </c>
      <c r="N10" s="4">
        <f>CONVERT(K10,"cm","in")</f>
        <v>74.409448818897644</v>
      </c>
      <c r="O10">
        <f>_xlfn.FLOOR.MATH(N10/12)</f>
        <v>6</v>
      </c>
      <c r="P10">
        <f>ROUND(N10-O10*12,1)</f>
        <v>2.4</v>
      </c>
      <c r="Q10" t="str">
        <f>O10&amp;"' "&amp;P10&amp;""""</f>
        <v>6' 2.4"</v>
      </c>
      <c r="R10">
        <f>ROUND(CONVERT(L10,"kg","lbm"),0)</f>
        <v>388</v>
      </c>
      <c r="S10">
        <f t="shared" si="0"/>
        <v>7</v>
      </c>
      <c r="T10">
        <f t="shared" si="0"/>
        <v>9</v>
      </c>
      <c r="U10">
        <f t="shared" si="0"/>
        <v>14</v>
      </c>
      <c r="V10">
        <f>_xlfn.XLOOKUP(A10,'January 2023 Data'!$A$4:$A$49,'January 2023 Data'!$H$4:$H$49,,0)</f>
        <v>189</v>
      </c>
      <c r="W10">
        <f t="shared" si="1"/>
        <v>0</v>
      </c>
      <c r="X10" s="22" t="s">
        <v>222</v>
      </c>
      <c r="Y10" t="str">
        <f t="shared" si="2"/>
        <v>Kotonowaka, 10-3</v>
      </c>
      <c r="Z10">
        <v>5</v>
      </c>
      <c r="AA10">
        <f t="shared" si="3"/>
        <v>0</v>
      </c>
    </row>
    <row r="11" spans="1:29" x14ac:dyDescent="0.35">
      <c r="A11" s="1" t="s">
        <v>93</v>
      </c>
      <c r="B11" s="1">
        <v>1</v>
      </c>
      <c r="C11" s="1" t="s">
        <v>42</v>
      </c>
      <c r="D11" s="1" t="s">
        <v>143</v>
      </c>
      <c r="E11" s="1" t="s">
        <v>137</v>
      </c>
      <c r="F11" s="1" t="s">
        <v>136</v>
      </c>
      <c r="G11" s="1" t="s">
        <v>132</v>
      </c>
      <c r="H11" s="1" t="s">
        <v>42</v>
      </c>
      <c r="I11" s="1">
        <f>_xlfn.XLOOKUP(H11,'rank lookup'!$A$1:$A$21,'rank lookup'!$B$1:$B$21,,0)</f>
        <v>4</v>
      </c>
      <c r="J11" s="1"/>
      <c r="K11" s="23">
        <v>186</v>
      </c>
      <c r="L11" s="23">
        <v>158</v>
      </c>
      <c r="M11" s="5">
        <f>L11/(K11*K11)*10000</f>
        <v>45.670019655451505</v>
      </c>
      <c r="N11" s="4">
        <f>CONVERT(K11,"cm","in")</f>
        <v>73.228346456692918</v>
      </c>
      <c r="O11">
        <f>_xlfn.FLOOR.MATH(N11/12)</f>
        <v>6</v>
      </c>
      <c r="P11">
        <f>ROUND(N11-O11*12,1)</f>
        <v>1.2</v>
      </c>
      <c r="Q11" t="str">
        <f>O11&amp;"' "&amp;P11&amp;""""</f>
        <v>6' 1.2"</v>
      </c>
      <c r="R11">
        <f>ROUND(CONVERT(L11,"kg","lbm"),0)</f>
        <v>348</v>
      </c>
      <c r="S11">
        <f t="shared" si="0"/>
        <v>15</v>
      </c>
      <c r="T11">
        <f t="shared" si="0"/>
        <v>22</v>
      </c>
      <c r="U11">
        <f t="shared" si="0"/>
        <v>23</v>
      </c>
      <c r="V11">
        <f>_xlfn.XLOOKUP(A11,'January 2023 Data'!$A$4:$A$49,'January 2023 Data'!$H$4:$H$49,,0)</f>
        <v>187</v>
      </c>
      <c r="W11">
        <f t="shared" si="1"/>
        <v>-1</v>
      </c>
      <c r="X11" s="22" t="s">
        <v>223</v>
      </c>
      <c r="Y11" t="str">
        <f t="shared" si="2"/>
        <v>Abi, 11-2</v>
      </c>
    </row>
    <row r="12" spans="1:29" x14ac:dyDescent="0.35">
      <c r="A12" s="1" t="s">
        <v>124</v>
      </c>
      <c r="B12" s="1"/>
      <c r="C12" s="1" t="s">
        <v>132</v>
      </c>
      <c r="D12" s="1" t="s">
        <v>42</v>
      </c>
      <c r="E12" s="1" t="s">
        <v>132</v>
      </c>
      <c r="F12" s="1" t="s">
        <v>42</v>
      </c>
      <c r="G12" s="1" t="s">
        <v>137</v>
      </c>
      <c r="H12" s="1" t="s">
        <v>132</v>
      </c>
      <c r="I12" s="1">
        <f>_xlfn.XLOOKUP(H12,'rank lookup'!$A$1:$A$21,'rank lookup'!$B$1:$B$21,,0)</f>
        <v>5</v>
      </c>
      <c r="J12" s="1"/>
      <c r="K12" s="23">
        <v>174</v>
      </c>
      <c r="L12" s="23">
        <v>135</v>
      </c>
      <c r="M12" s="5">
        <f>L12/(K12*K12)*10000</f>
        <v>44.589774078478001</v>
      </c>
      <c r="N12" s="4">
        <f>CONVERT(K12,"cm","in")</f>
        <v>68.503937007874015</v>
      </c>
      <c r="O12">
        <f>_xlfn.FLOOR.MATH(N12/12)</f>
        <v>5</v>
      </c>
      <c r="P12">
        <f>ROUND(N12-O12*12,1)</f>
        <v>8.5</v>
      </c>
      <c r="Q12" t="str">
        <f>O12&amp;"' "&amp;P12&amp;""""</f>
        <v>5' 8.5"</v>
      </c>
      <c r="R12">
        <f>ROUND(CONVERT(L12,"kg","lbm"),0)</f>
        <v>298</v>
      </c>
      <c r="S12">
        <f t="shared" si="0"/>
        <v>37</v>
      </c>
      <c r="T12">
        <f t="shared" si="0"/>
        <v>35</v>
      </c>
      <c r="U12">
        <f t="shared" si="0"/>
        <v>24</v>
      </c>
      <c r="V12">
        <f>_xlfn.XLOOKUP(A12,'January 2023 Data'!$A$4:$A$49,'January 2023 Data'!$H$4:$H$49,,0)</f>
        <v>174</v>
      </c>
      <c r="W12">
        <f t="shared" si="1"/>
        <v>0</v>
      </c>
      <c r="X12" s="22" t="s">
        <v>224</v>
      </c>
      <c r="Y12" t="str">
        <f t="shared" si="2"/>
        <v>Tobizaru, 4-9</v>
      </c>
    </row>
    <row r="13" spans="1:29" x14ac:dyDescent="0.35">
      <c r="A13" s="1" t="s">
        <v>138</v>
      </c>
      <c r="C13" s="1" t="s">
        <v>139</v>
      </c>
      <c r="D13" s="1" t="s">
        <v>141</v>
      </c>
      <c r="E13" s="1" t="s">
        <v>140</v>
      </c>
      <c r="F13" s="1" t="s">
        <v>137</v>
      </c>
      <c r="G13" s="1" t="s">
        <v>139</v>
      </c>
      <c r="H13" s="1" t="s">
        <v>132</v>
      </c>
      <c r="I13" s="1">
        <f>_xlfn.XLOOKUP(H13,'rank lookup'!$A$1:$A$21,'rank lookup'!$B$1:$B$21,,0)</f>
        <v>5</v>
      </c>
      <c r="J13" s="1"/>
      <c r="K13" s="23">
        <v>185</v>
      </c>
      <c r="L13" s="23">
        <v>180</v>
      </c>
      <c r="M13" s="5">
        <f>L13/(K13*K13)*10000</f>
        <v>52.593133674214762</v>
      </c>
      <c r="N13" s="4">
        <f>CONVERT(K13,"cm","in")</f>
        <v>72.834645669291348</v>
      </c>
      <c r="O13">
        <f>_xlfn.FLOOR.MATH(N13/12)</f>
        <v>6</v>
      </c>
      <c r="P13">
        <f>ROUND(N13-O13*12,1)</f>
        <v>0.8</v>
      </c>
      <c r="Q13" t="str">
        <f>O13&amp;"' "&amp;P13&amp;""""</f>
        <v>6' 0.8"</v>
      </c>
      <c r="R13">
        <f>ROUND(CONVERT(L13,"kg","lbm"),0)</f>
        <v>397</v>
      </c>
      <c r="S13">
        <f t="shared" si="0"/>
        <v>18</v>
      </c>
      <c r="T13">
        <f t="shared" si="0"/>
        <v>7</v>
      </c>
      <c r="U13">
        <f t="shared" si="0"/>
        <v>7</v>
      </c>
      <c r="V13">
        <f>_xlfn.XLOOKUP(A13,'January 2023 Data'!$A$4:$A$49,'January 2023 Data'!$H$4:$H$49,,0)</f>
        <v>184</v>
      </c>
      <c r="W13">
        <f t="shared" si="1"/>
        <v>1</v>
      </c>
      <c r="X13" s="22" t="s">
        <v>225</v>
      </c>
      <c r="Y13" t="str">
        <f t="shared" si="2"/>
        <v>Nishikigi, 8-5</v>
      </c>
    </row>
    <row r="14" spans="1:29" x14ac:dyDescent="0.35">
      <c r="A14" s="1" t="s">
        <v>109</v>
      </c>
      <c r="B14" s="1">
        <v>1</v>
      </c>
      <c r="C14" s="1" t="s">
        <v>39</v>
      </c>
      <c r="D14" s="1" t="s">
        <v>39</v>
      </c>
      <c r="E14" s="1" t="s">
        <v>31</v>
      </c>
      <c r="F14" s="1" t="s">
        <v>132</v>
      </c>
      <c r="G14" s="1" t="s">
        <v>42</v>
      </c>
      <c r="H14" s="1" t="s">
        <v>136</v>
      </c>
      <c r="I14" s="1">
        <f>_xlfn.XLOOKUP(H14,'rank lookup'!$A$1:$A$21,'rank lookup'!$B$1:$B$21,,0)</f>
        <v>6</v>
      </c>
      <c r="J14" s="1"/>
      <c r="K14" s="23">
        <v>184</v>
      </c>
      <c r="L14" s="23">
        <v>161</v>
      </c>
      <c r="M14" s="5">
        <f>L14/(K14*K14)*10000</f>
        <v>47.554347826086961</v>
      </c>
      <c r="N14" s="4">
        <f>CONVERT(K14,"cm","in")</f>
        <v>72.440944881889763</v>
      </c>
      <c r="O14">
        <f>_xlfn.FLOOR.MATH(N14/12)</f>
        <v>6</v>
      </c>
      <c r="P14">
        <f>ROUND(N14-O14*12,1)</f>
        <v>0.4</v>
      </c>
      <c r="Q14" t="str">
        <f>O14&amp;"' "&amp;P14&amp;""""</f>
        <v>6' 0.4"</v>
      </c>
      <c r="R14">
        <f>ROUND(CONVERT(L14,"kg","lbm"),0)</f>
        <v>355</v>
      </c>
      <c r="S14">
        <f t="shared" si="0"/>
        <v>21</v>
      </c>
      <c r="T14">
        <f t="shared" si="0"/>
        <v>20</v>
      </c>
      <c r="U14">
        <f t="shared" si="0"/>
        <v>17</v>
      </c>
      <c r="V14">
        <f>_xlfn.XLOOKUP(A14,'January 2023 Data'!$A$4:$A$49,'January 2023 Data'!$H$4:$H$49,,0)</f>
        <v>183</v>
      </c>
      <c r="W14">
        <f t="shared" si="1"/>
        <v>1</v>
      </c>
      <c r="X14" s="22" t="s">
        <v>226</v>
      </c>
      <c r="Y14" t="str">
        <f t="shared" si="2"/>
        <v>Shodai, 3-10</v>
      </c>
    </row>
    <row r="15" spans="1:29" x14ac:dyDescent="0.35">
      <c r="A15" s="1" t="s">
        <v>116</v>
      </c>
      <c r="B15" s="1">
        <v>2</v>
      </c>
      <c r="C15" s="1" t="s">
        <v>39</v>
      </c>
      <c r="D15" s="1" t="s">
        <v>31</v>
      </c>
      <c r="E15" s="1" t="s">
        <v>136</v>
      </c>
      <c r="F15" s="1" t="s">
        <v>137</v>
      </c>
      <c r="G15" s="1" t="s">
        <v>141</v>
      </c>
      <c r="H15" s="1" t="s">
        <v>136</v>
      </c>
      <c r="I15" s="1">
        <f>_xlfn.XLOOKUP(H15,'rank lookup'!$A$1:$A$21,'rank lookup'!$B$1:$B$21,,0)</f>
        <v>6</v>
      </c>
      <c r="J15" s="1"/>
      <c r="K15" s="23">
        <v>179</v>
      </c>
      <c r="L15" s="23">
        <v>170</v>
      </c>
      <c r="M15" s="5">
        <f>L15/(K15*K15)*10000</f>
        <v>53.057020692238069</v>
      </c>
      <c r="N15" s="4">
        <f>CONVERT(K15,"cm","in")</f>
        <v>70.472440944881896</v>
      </c>
      <c r="O15">
        <f>_xlfn.FLOOR.MATH(N15/12)</f>
        <v>5</v>
      </c>
      <c r="P15">
        <f>ROUND(N15-O15*12,1)</f>
        <v>10.5</v>
      </c>
      <c r="Q15" t="str">
        <f>O15&amp;"' "&amp;P15&amp;""""</f>
        <v>5' 10.5"</v>
      </c>
      <c r="R15">
        <f>ROUND(CONVERT(L15,"kg","lbm"),0)</f>
        <v>375</v>
      </c>
      <c r="S15">
        <f t="shared" si="0"/>
        <v>31</v>
      </c>
      <c r="T15">
        <f t="shared" si="0"/>
        <v>14</v>
      </c>
      <c r="U15">
        <f t="shared" si="0"/>
        <v>5</v>
      </c>
      <c r="V15">
        <f>_xlfn.XLOOKUP(A15,'January 2023 Data'!$A$4:$A$49,'January 2023 Data'!$H$4:$H$49,,0)</f>
        <v>179</v>
      </c>
      <c r="W15">
        <f t="shared" si="1"/>
        <v>0</v>
      </c>
      <c r="X15" s="22" t="s">
        <v>225</v>
      </c>
      <c r="Y15" t="str">
        <f t="shared" si="2"/>
        <v>Mitakeumi, 8-5</v>
      </c>
    </row>
    <row r="16" spans="1:29" x14ac:dyDescent="0.35">
      <c r="A16" s="1" t="s">
        <v>133</v>
      </c>
      <c r="C16" t="s">
        <v>132</v>
      </c>
      <c r="D16" s="1" t="s">
        <v>137</v>
      </c>
      <c r="E16" s="1" t="s">
        <v>137</v>
      </c>
      <c r="F16" s="1" t="s">
        <v>140</v>
      </c>
      <c r="G16" s="1" t="s">
        <v>132</v>
      </c>
      <c r="H16" s="1" t="s">
        <v>137</v>
      </c>
      <c r="I16" s="1">
        <f>_xlfn.XLOOKUP(H16,'rank lookup'!$A$1:$A$21,'rank lookup'!$B$1:$B$21,,0)</f>
        <v>7</v>
      </c>
      <c r="J16" s="1"/>
      <c r="K16" s="23">
        <v>171</v>
      </c>
      <c r="L16" s="23">
        <v>116</v>
      </c>
      <c r="M16" s="5">
        <f>L16/(K16*K16)*10000</f>
        <v>39.670325912246504</v>
      </c>
      <c r="N16" s="4">
        <f>CONVERT(K16,"cm","in")</f>
        <v>67.322834645669289</v>
      </c>
      <c r="O16">
        <f>_xlfn.FLOOR.MATH(N16/12)</f>
        <v>5</v>
      </c>
      <c r="P16">
        <f>ROUND(N16-O16*12,1)</f>
        <v>7.3</v>
      </c>
      <c r="Q16" t="str">
        <f>O16&amp;"' "&amp;P16&amp;""""</f>
        <v>5' 7.3"</v>
      </c>
      <c r="R16">
        <f>ROUND(CONVERT(L16,"kg","lbm"),0)</f>
        <v>256</v>
      </c>
      <c r="S16">
        <f t="shared" si="0"/>
        <v>38</v>
      </c>
      <c r="T16">
        <f t="shared" si="0"/>
        <v>39</v>
      </c>
      <c r="U16">
        <f t="shared" si="0"/>
        <v>39</v>
      </c>
      <c r="V16">
        <f>_xlfn.XLOOKUP(A16,'January 2023 Data'!$A$4:$A$49,'January 2023 Data'!$H$4:$H$49,,0)</f>
        <v>171</v>
      </c>
      <c r="W16">
        <f t="shared" si="1"/>
        <v>0</v>
      </c>
      <c r="X16" s="22" t="s">
        <v>227</v>
      </c>
      <c r="Y16" t="str">
        <f t="shared" si="2"/>
        <v>Midorifuji, 8-12</v>
      </c>
    </row>
    <row r="17" spans="1:25" x14ac:dyDescent="0.35">
      <c r="A17" s="1" t="s">
        <v>117</v>
      </c>
      <c r="B17" s="1"/>
      <c r="C17" s="1" t="s">
        <v>136</v>
      </c>
      <c r="D17" s="1" t="s">
        <v>136</v>
      </c>
      <c r="E17" s="1" t="s">
        <v>42</v>
      </c>
      <c r="F17" s="1" t="s">
        <v>139</v>
      </c>
      <c r="G17" s="1" t="s">
        <v>141</v>
      </c>
      <c r="H17" s="1" t="s">
        <v>137</v>
      </c>
      <c r="I17" s="1">
        <f>_xlfn.XLOOKUP(H17,'rank lookup'!$A$1:$A$21,'rank lookup'!$B$1:$B$21,,0)</f>
        <v>7</v>
      </c>
      <c r="J17" s="1"/>
      <c r="K17" s="23">
        <v>180</v>
      </c>
      <c r="L17" s="23">
        <v>154</v>
      </c>
      <c r="M17" s="5">
        <f>L17/(K17*K17)*10000</f>
        <v>47.530864197530867</v>
      </c>
      <c r="N17" s="4">
        <f>CONVERT(K17,"cm","in")</f>
        <v>70.866141732283467</v>
      </c>
      <c r="O17">
        <f>_xlfn.FLOOR.MATH(N17/12)</f>
        <v>5</v>
      </c>
      <c r="P17">
        <f>ROUND(N17-O17*12,1)</f>
        <v>10.9</v>
      </c>
      <c r="Q17" t="str">
        <f>O17&amp;"' "&amp;P17&amp;""""</f>
        <v>5' 10.9"</v>
      </c>
      <c r="R17">
        <f>ROUND(CONVERT(L17,"kg","lbm"),0)</f>
        <v>340</v>
      </c>
      <c r="S17">
        <f t="shared" si="0"/>
        <v>30</v>
      </c>
      <c r="T17">
        <f t="shared" si="0"/>
        <v>26</v>
      </c>
      <c r="U17">
        <f t="shared" si="0"/>
        <v>18</v>
      </c>
      <c r="V17">
        <f>_xlfn.XLOOKUP(A17,'January 2023 Data'!$A$4:$A$49,'January 2023 Data'!$H$4:$H$49,,0)</f>
        <v>180</v>
      </c>
      <c r="W17">
        <f t="shared" si="1"/>
        <v>0</v>
      </c>
      <c r="X17" s="22" t="s">
        <v>224</v>
      </c>
      <c r="Y17" t="str">
        <f t="shared" si="2"/>
        <v>Meisei, 4-9</v>
      </c>
    </row>
    <row r="18" spans="1:25" x14ac:dyDescent="0.35">
      <c r="A18" s="1" t="s">
        <v>121</v>
      </c>
      <c r="B18" s="1"/>
      <c r="C18" s="1" t="s">
        <v>137</v>
      </c>
      <c r="D18" s="1" t="s">
        <v>137</v>
      </c>
      <c r="E18" s="1" t="s">
        <v>135</v>
      </c>
      <c r="F18" s="1" t="s">
        <v>142</v>
      </c>
      <c r="G18" s="1" t="s">
        <v>139</v>
      </c>
      <c r="H18" s="1" t="s">
        <v>139</v>
      </c>
      <c r="I18" s="1">
        <f>_xlfn.XLOOKUP(H18,'rank lookup'!$A$1:$A$21,'rank lookup'!$B$1:$B$21,,0)</f>
        <v>8</v>
      </c>
      <c r="J18" s="1"/>
      <c r="K18" s="23">
        <v>175</v>
      </c>
      <c r="L18" s="23">
        <v>143</v>
      </c>
      <c r="M18" s="5">
        <f>L18/(K18*K18)*10000</f>
        <v>46.693877551020407</v>
      </c>
      <c r="N18" s="4">
        <f>CONVERT(K18,"cm","in")</f>
        <v>68.897637795275585</v>
      </c>
      <c r="O18">
        <f>_xlfn.FLOOR.MATH(N18/12)</f>
        <v>5</v>
      </c>
      <c r="P18">
        <f>ROUND(N18-O18*12,1)</f>
        <v>8.9</v>
      </c>
      <c r="Q18" t="str">
        <f>O18&amp;"' "&amp;P18&amp;""""</f>
        <v>5' 8.9"</v>
      </c>
      <c r="R18">
        <f>ROUND(CONVERT(L18,"kg","lbm"),0)</f>
        <v>315</v>
      </c>
      <c r="S18">
        <f t="shared" si="0"/>
        <v>35</v>
      </c>
      <c r="T18">
        <f t="shared" si="0"/>
        <v>30</v>
      </c>
      <c r="U18">
        <f t="shared" si="0"/>
        <v>21</v>
      </c>
      <c r="V18">
        <f>_xlfn.XLOOKUP(A18,'January 2023 Data'!$A$4:$A$49,'January 2023 Data'!$H$4:$H$49,,0)</f>
        <v>175</v>
      </c>
      <c r="W18">
        <f t="shared" si="1"/>
        <v>0</v>
      </c>
      <c r="X18" s="22" t="s">
        <v>224</v>
      </c>
      <c r="Y18" t="str">
        <f t="shared" si="2"/>
        <v>Ura, 4-9</v>
      </c>
    </row>
    <row r="19" spans="1:25" x14ac:dyDescent="0.35">
      <c r="A19" s="1" t="s">
        <v>231</v>
      </c>
      <c r="G19" t="s">
        <v>151</v>
      </c>
      <c r="H19" t="s">
        <v>139</v>
      </c>
      <c r="I19" s="1">
        <f>_xlfn.XLOOKUP(H19,'rank lookup'!$A$1:$A$21,'rank lookup'!$B$1:$B$21,,0)</f>
        <v>8</v>
      </c>
      <c r="K19" s="23">
        <v>189</v>
      </c>
      <c r="L19" s="23">
        <v>168</v>
      </c>
      <c r="M19" s="5">
        <f>L19/(K19*K19)*10000</f>
        <v>47.031158142269256</v>
      </c>
      <c r="N19" s="4">
        <f>CONVERT(K19,"cm","in")</f>
        <v>74.409448818897644</v>
      </c>
      <c r="O19">
        <f>_xlfn.FLOOR.MATH(N19/12)</f>
        <v>6</v>
      </c>
      <c r="P19">
        <f>ROUND(N19-O19*12,1)</f>
        <v>2.4</v>
      </c>
      <c r="Q19" t="str">
        <f>O19&amp;"' "&amp;P19&amp;""""</f>
        <v>6' 2.4"</v>
      </c>
      <c r="R19">
        <f>ROUND(CONVERT(L19,"kg","lbm"),0)</f>
        <v>370</v>
      </c>
      <c r="S19">
        <f t="shared" si="0"/>
        <v>7</v>
      </c>
      <c r="T19">
        <f t="shared" si="0"/>
        <v>16</v>
      </c>
      <c r="U19">
        <f t="shared" si="0"/>
        <v>20</v>
      </c>
      <c r="V19" t="e">
        <f>_xlfn.XLOOKUP(A19,'January 2023 Data'!$A$4:$A$49,'January 2023 Data'!$H$4:$H$49,,0)</f>
        <v>#N/A</v>
      </c>
      <c r="W19" t="e">
        <f t="shared" si="1"/>
        <v>#N/A</v>
      </c>
      <c r="X19" s="22" t="s">
        <v>224</v>
      </c>
      <c r="Y19" t="str">
        <f t="shared" si="2"/>
        <v>Asanoyama, 4-9</v>
      </c>
    </row>
    <row r="20" spans="1:25" x14ac:dyDescent="0.35">
      <c r="A20" s="1" t="s">
        <v>120</v>
      </c>
      <c r="B20" s="1"/>
      <c r="C20" s="1" t="s">
        <v>135</v>
      </c>
      <c r="D20" s="1" t="s">
        <v>147</v>
      </c>
      <c r="E20" s="1" t="s">
        <v>142</v>
      </c>
      <c r="F20" s="1" t="s">
        <v>139</v>
      </c>
      <c r="G20" s="1" t="s">
        <v>143</v>
      </c>
      <c r="H20" s="1" t="s">
        <v>140</v>
      </c>
      <c r="I20" s="1">
        <f>_xlfn.XLOOKUP(H20,'rank lookup'!$A$1:$A$21,'rank lookup'!$B$1:$B$21,,0)</f>
        <v>9</v>
      </c>
      <c r="J20" s="1"/>
      <c r="K20" s="23">
        <v>177</v>
      </c>
      <c r="L20" s="23">
        <v>165</v>
      </c>
      <c r="M20" s="5">
        <f>L20/(K20*K20)*10000</f>
        <v>52.666858182514609</v>
      </c>
      <c r="N20" s="4">
        <f>CONVERT(K20,"cm","in")</f>
        <v>69.685039370078741</v>
      </c>
      <c r="O20">
        <f>_xlfn.FLOOR.MATH(N20/12)</f>
        <v>5</v>
      </c>
      <c r="P20">
        <f>ROUND(N20-O20*12,1)</f>
        <v>9.6999999999999993</v>
      </c>
      <c r="Q20" t="str">
        <f>O20&amp;"' "&amp;P20&amp;""""</f>
        <v>5' 9.7"</v>
      </c>
      <c r="R20">
        <f>ROUND(CONVERT(L20,"kg","lbm"),0)</f>
        <v>364</v>
      </c>
      <c r="S20">
        <f t="shared" si="0"/>
        <v>32</v>
      </c>
      <c r="T20">
        <f t="shared" si="0"/>
        <v>17</v>
      </c>
      <c r="U20">
        <f t="shared" si="0"/>
        <v>6</v>
      </c>
      <c r="V20">
        <f>_xlfn.XLOOKUP(A20,'January 2023 Data'!$A$4:$A$49,'January 2023 Data'!$H$4:$H$49,,0)</f>
        <v>178</v>
      </c>
      <c r="W20">
        <f t="shared" si="1"/>
        <v>-1</v>
      </c>
      <c r="X20" t="s">
        <v>218</v>
      </c>
      <c r="Y20" t="str">
        <f t="shared" si="2"/>
        <v>Onosho, OUT</v>
      </c>
    </row>
    <row r="21" spans="1:25" x14ac:dyDescent="0.35">
      <c r="A21" t="s">
        <v>155</v>
      </c>
      <c r="C21" s="1" t="s">
        <v>154</v>
      </c>
      <c r="D21" s="1" t="s">
        <v>154</v>
      </c>
      <c r="E21" s="1" t="s">
        <v>145</v>
      </c>
      <c r="F21" s="1" t="s">
        <v>143</v>
      </c>
      <c r="G21" s="1" t="s">
        <v>143</v>
      </c>
      <c r="H21" s="1" t="s">
        <v>140</v>
      </c>
      <c r="I21" s="1">
        <f>_xlfn.XLOOKUP(H21,'rank lookup'!$A$1:$A$21,'rank lookup'!$B$1:$B$21,,0)</f>
        <v>9</v>
      </c>
      <c r="J21" s="1"/>
      <c r="K21" s="23">
        <v>177</v>
      </c>
      <c r="L21" s="23">
        <v>135</v>
      </c>
      <c r="M21" s="5">
        <f>L21/(K21*K21)*10000</f>
        <v>43.091065785693765</v>
      </c>
      <c r="N21" s="4">
        <f>CONVERT(K21,"cm","in")</f>
        <v>69.685039370078741</v>
      </c>
      <c r="O21">
        <f>_xlfn.FLOOR.MATH(N21/12)</f>
        <v>5</v>
      </c>
      <c r="P21">
        <f>ROUND(N21-O21*12,1)</f>
        <v>9.6999999999999993</v>
      </c>
      <c r="Q21" t="str">
        <f>O21&amp;"' "&amp;P21&amp;""""</f>
        <v>5' 9.7"</v>
      </c>
      <c r="R21">
        <f>ROUND(CONVERT(L21,"kg","lbm"),0)</f>
        <v>298</v>
      </c>
      <c r="S21">
        <f t="shared" si="0"/>
        <v>32</v>
      </c>
      <c r="T21">
        <f t="shared" si="0"/>
        <v>35</v>
      </c>
      <c r="U21">
        <f t="shared" si="0"/>
        <v>31</v>
      </c>
      <c r="V21">
        <f>_xlfn.XLOOKUP(A21,'January 2023 Data'!$A$4:$A$49,'January 2023 Data'!$H$4:$H$49,,0)</f>
        <v>178</v>
      </c>
      <c r="W21">
        <f t="shared" si="1"/>
        <v>-1</v>
      </c>
      <c r="X21" s="22" t="s">
        <v>222</v>
      </c>
      <c r="Y21" t="str">
        <f t="shared" si="2"/>
        <v>Hiradoumi, 10-3</v>
      </c>
    </row>
    <row r="22" spans="1:25" x14ac:dyDescent="0.35">
      <c r="A22" s="1" t="s">
        <v>191</v>
      </c>
      <c r="F22" t="s">
        <v>152</v>
      </c>
      <c r="G22" t="s">
        <v>147</v>
      </c>
      <c r="H22" t="s">
        <v>141</v>
      </c>
      <c r="I22" s="1">
        <f>_xlfn.XLOOKUP(H22,'rank lookup'!$A$1:$A$21,'rank lookup'!$B$1:$B$21,,0)</f>
        <v>10</v>
      </c>
      <c r="J22" s="1"/>
      <c r="K22" s="23">
        <v>204</v>
      </c>
      <c r="L22" s="23">
        <v>185</v>
      </c>
      <c r="M22" s="5">
        <f>L22/(K22*K22)*10000</f>
        <v>44.454056132256824</v>
      </c>
      <c r="N22" s="4">
        <f>CONVERT(K22,"cm","in")</f>
        <v>80.314960629921259</v>
      </c>
      <c r="O22">
        <f>_xlfn.FLOOR.MATH(N22/12)</f>
        <v>6</v>
      </c>
      <c r="P22">
        <f>ROUND(N22-O22*12,1)</f>
        <v>8.3000000000000007</v>
      </c>
      <c r="Q22" t="str">
        <f>O22&amp;"' "&amp;P22&amp;""""</f>
        <v>6' 8.3"</v>
      </c>
      <c r="R22">
        <f>ROUND(CONVERT(L22,"kg","lbm"),0)</f>
        <v>408</v>
      </c>
      <c r="S22">
        <f t="shared" si="0"/>
        <v>1</v>
      </c>
      <c r="T22">
        <f t="shared" si="0"/>
        <v>4</v>
      </c>
      <c r="U22">
        <f t="shared" si="0"/>
        <v>25</v>
      </c>
      <c r="V22" t="e">
        <f>_xlfn.XLOOKUP(A22,'January 2023 Data'!$A$4:$A$49,'January 2023 Data'!$H$4:$H$49,,0)</f>
        <v>#N/A</v>
      </c>
      <c r="W22" t="e">
        <f t="shared" si="1"/>
        <v>#N/A</v>
      </c>
      <c r="X22" s="22" t="s">
        <v>228</v>
      </c>
      <c r="Y22" t="str">
        <f t="shared" si="2"/>
        <v>Hokuseiho, 5-8</v>
      </c>
    </row>
    <row r="23" spans="1:25" x14ac:dyDescent="0.35">
      <c r="A23" s="1" t="s">
        <v>88</v>
      </c>
      <c r="B23" s="1"/>
      <c r="C23" s="1" t="s">
        <v>150</v>
      </c>
      <c r="D23" s="1" t="s">
        <v>150</v>
      </c>
      <c r="E23" s="1" t="s">
        <v>142</v>
      </c>
      <c r="F23" s="1" t="s">
        <v>152</v>
      </c>
      <c r="G23" s="1" t="s">
        <v>154</v>
      </c>
      <c r="H23" s="1" t="s">
        <v>141</v>
      </c>
      <c r="I23" s="1">
        <f>_xlfn.XLOOKUP(H23,'rank lookup'!$A$1:$A$21,'rank lookup'!$B$1:$B$21,,0)</f>
        <v>10</v>
      </c>
      <c r="J23" s="1"/>
      <c r="K23" s="23">
        <v>190</v>
      </c>
      <c r="L23" s="23">
        <v>179</v>
      </c>
      <c r="M23" s="5">
        <f>L23/(K23*K23)*10000</f>
        <v>49.584487534626035</v>
      </c>
      <c r="N23" s="4">
        <f>CONVERT(K23,"cm","in")</f>
        <v>74.803149606299215</v>
      </c>
      <c r="O23">
        <f>_xlfn.FLOOR.MATH(N23/12)</f>
        <v>6</v>
      </c>
      <c r="P23">
        <f>ROUND(N23-O23*12,1)</f>
        <v>2.8</v>
      </c>
      <c r="Q23" t="str">
        <f>O23&amp;"' "&amp;P23&amp;""""</f>
        <v>6' 2.8"</v>
      </c>
      <c r="R23">
        <f>ROUND(CONVERT(L23,"kg","lbm"),0)</f>
        <v>395</v>
      </c>
      <c r="S23">
        <f t="shared" si="0"/>
        <v>6</v>
      </c>
      <c r="T23">
        <f t="shared" si="0"/>
        <v>8</v>
      </c>
      <c r="U23">
        <f t="shared" si="0"/>
        <v>11</v>
      </c>
      <c r="V23">
        <f>_xlfn.XLOOKUP(A23,'January 2023 Data'!$A$4:$A$49,'January 2023 Data'!$H$4:$H$49,,0)</f>
        <v>189</v>
      </c>
      <c r="W23">
        <f t="shared" si="1"/>
        <v>1</v>
      </c>
      <c r="X23" s="22" t="s">
        <v>228</v>
      </c>
      <c r="Y23" t="str">
        <f t="shared" si="2"/>
        <v>Oho, 5-8</v>
      </c>
    </row>
    <row r="24" spans="1:25" x14ac:dyDescent="0.35">
      <c r="A24" s="1" t="s">
        <v>96</v>
      </c>
      <c r="B24" s="1"/>
      <c r="C24" s="1" t="s">
        <v>139</v>
      </c>
      <c r="D24" s="1" t="s">
        <v>132</v>
      </c>
      <c r="E24" s="1" t="s">
        <v>31</v>
      </c>
      <c r="F24" s="1" t="s">
        <v>135</v>
      </c>
      <c r="G24" s="1" t="s">
        <v>136</v>
      </c>
      <c r="H24" s="1" t="s">
        <v>135</v>
      </c>
      <c r="I24" s="1">
        <f>_xlfn.XLOOKUP(H24,'rank lookup'!$A$1:$A$21,'rank lookup'!$B$1:$B$21,,0)</f>
        <v>11</v>
      </c>
      <c r="J24" s="1"/>
      <c r="K24" s="23">
        <v>188</v>
      </c>
      <c r="L24" s="23">
        <v>183</v>
      </c>
      <c r="M24" s="5">
        <f>L24/(K24*K24)*10000</f>
        <v>51.776822091444096</v>
      </c>
      <c r="N24" s="4">
        <f>CONVERT(K24,"cm","in")</f>
        <v>74.015748031496059</v>
      </c>
      <c r="O24">
        <f>_xlfn.FLOOR.MATH(N24/12)</f>
        <v>6</v>
      </c>
      <c r="P24">
        <f>ROUND(N24-O24*12,1)</f>
        <v>2</v>
      </c>
      <c r="Q24" t="str">
        <f>O24&amp;"' "&amp;P24&amp;""""</f>
        <v>6' 2"</v>
      </c>
      <c r="R24">
        <f>ROUND(CONVERT(L24,"kg","lbm"),0)</f>
        <v>403</v>
      </c>
      <c r="S24">
        <f t="shared" si="0"/>
        <v>10</v>
      </c>
      <c r="T24">
        <f t="shared" si="0"/>
        <v>5</v>
      </c>
      <c r="U24">
        <f t="shared" si="0"/>
        <v>8</v>
      </c>
      <c r="V24">
        <f>_xlfn.XLOOKUP(A24,'January 2023 Data'!$A$4:$A$49,'January 2023 Data'!$H$4:$H$49,,0)</f>
        <v>186</v>
      </c>
      <c r="W24">
        <f t="shared" si="1"/>
        <v>2</v>
      </c>
      <c r="X24" s="22" t="s">
        <v>225</v>
      </c>
      <c r="Y24" t="str">
        <f t="shared" si="2"/>
        <v>Takayasu, 8-5</v>
      </c>
    </row>
    <row r="25" spans="1:25" x14ac:dyDescent="0.35">
      <c r="A25" s="1" t="s">
        <v>92</v>
      </c>
      <c r="B25" s="1">
        <v>2</v>
      </c>
      <c r="C25" s="1" t="s">
        <v>137</v>
      </c>
      <c r="D25" s="1" t="s">
        <v>42</v>
      </c>
      <c r="E25" s="1" t="s">
        <v>136</v>
      </c>
      <c r="F25" s="1" t="s">
        <v>132</v>
      </c>
      <c r="G25" s="1" t="s">
        <v>135</v>
      </c>
      <c r="H25" s="1" t="s">
        <v>135</v>
      </c>
      <c r="I25" s="1">
        <f>_xlfn.XLOOKUP(H25,'rank lookup'!$A$1:$A$21,'rank lookup'!$B$1:$B$21,,0)</f>
        <v>11</v>
      </c>
      <c r="J25" s="1"/>
      <c r="K25" s="23">
        <v>189</v>
      </c>
      <c r="L25" s="23">
        <v>174</v>
      </c>
      <c r="M25" s="5">
        <f>L25/(K25*K25)*10000</f>
        <v>48.710842361636011</v>
      </c>
      <c r="N25" s="4">
        <f>CONVERT(K25,"cm","in")</f>
        <v>74.409448818897644</v>
      </c>
      <c r="O25">
        <f>_xlfn.FLOOR.MATH(N25/12)</f>
        <v>6</v>
      </c>
      <c r="P25">
        <f>ROUND(N25-O25*12,1)</f>
        <v>2.4</v>
      </c>
      <c r="Q25" t="str">
        <f>O25&amp;"' "&amp;P25&amp;""""</f>
        <v>6' 2.4"</v>
      </c>
      <c r="R25">
        <f>ROUND(CONVERT(L25,"kg","lbm"),0)</f>
        <v>384</v>
      </c>
      <c r="S25">
        <f t="shared" si="0"/>
        <v>7</v>
      </c>
      <c r="T25">
        <f t="shared" si="0"/>
        <v>10</v>
      </c>
      <c r="U25">
        <f t="shared" si="0"/>
        <v>16</v>
      </c>
      <c r="V25">
        <f>_xlfn.XLOOKUP(A25,'January 2023 Data'!$A$4:$A$49,'January 2023 Data'!$H$4:$H$49,,0)</f>
        <v>189</v>
      </c>
      <c r="W25">
        <f t="shared" si="1"/>
        <v>0</v>
      </c>
      <c r="X25" s="22" t="s">
        <v>225</v>
      </c>
      <c r="Y25" t="str">
        <f t="shared" si="2"/>
        <v>Tamawashi, 8-5</v>
      </c>
    </row>
    <row r="26" spans="1:25" x14ac:dyDescent="0.35">
      <c r="A26" t="s">
        <v>144</v>
      </c>
      <c r="C26" s="1" t="s">
        <v>145</v>
      </c>
      <c r="D26" s="1" t="s">
        <v>140</v>
      </c>
      <c r="E26" s="1" t="s">
        <v>139</v>
      </c>
      <c r="F26" s="1" t="s">
        <v>145</v>
      </c>
      <c r="G26" s="1" t="s">
        <v>137</v>
      </c>
      <c r="H26" s="1" t="s">
        <v>142</v>
      </c>
      <c r="I26" s="1">
        <f>_xlfn.XLOOKUP(H26,'rank lookup'!$A$1:$A$21,'rank lookup'!$B$1:$B$21,,0)</f>
        <v>12</v>
      </c>
      <c r="J26" s="1"/>
      <c r="K26" s="23">
        <v>184</v>
      </c>
      <c r="L26" s="23">
        <v>149</v>
      </c>
      <c r="M26" s="5">
        <f>L26/(K26*K26)*10000</f>
        <v>44.009924385633276</v>
      </c>
      <c r="N26" s="4">
        <f>CONVERT(K26,"cm","in")</f>
        <v>72.440944881889763</v>
      </c>
      <c r="O26">
        <f>_xlfn.FLOOR.MATH(N26/12)</f>
        <v>6</v>
      </c>
      <c r="P26">
        <f>ROUND(N26-O26*12,1)</f>
        <v>0.4</v>
      </c>
      <c r="Q26" t="str">
        <f>O26&amp;"' "&amp;P26&amp;""""</f>
        <v>6' 0.4"</v>
      </c>
      <c r="R26">
        <f>ROUND(CONVERT(L26,"kg","lbm"),0)</f>
        <v>328</v>
      </c>
      <c r="S26">
        <f t="shared" si="0"/>
        <v>21</v>
      </c>
      <c r="T26">
        <f t="shared" si="0"/>
        <v>28</v>
      </c>
      <c r="U26">
        <f t="shared" si="0"/>
        <v>29</v>
      </c>
      <c r="V26">
        <f>_xlfn.XLOOKUP(A26,'January 2023 Data'!$A$4:$A$49,'January 2023 Data'!$H$4:$H$49,,0)</f>
        <v>184</v>
      </c>
      <c r="W26">
        <f t="shared" si="1"/>
        <v>0</v>
      </c>
      <c r="X26" s="22" t="s">
        <v>220</v>
      </c>
      <c r="Y26" t="str">
        <f t="shared" si="2"/>
        <v>Nishikifuji, 7-6</v>
      </c>
    </row>
    <row r="27" spans="1:25" x14ac:dyDescent="0.35">
      <c r="A27" s="1" t="s">
        <v>111</v>
      </c>
      <c r="B27" s="1"/>
      <c r="C27" s="1" t="s">
        <v>140</v>
      </c>
      <c r="D27" s="1" t="s">
        <v>139</v>
      </c>
      <c r="E27" s="1" t="s">
        <v>139</v>
      </c>
      <c r="F27" s="1" t="s">
        <v>141</v>
      </c>
      <c r="G27" s="1" t="s">
        <v>142</v>
      </c>
      <c r="H27" s="1" t="s">
        <v>142</v>
      </c>
      <c r="I27" s="1">
        <f>_xlfn.XLOOKUP(H27,'rank lookup'!$A$1:$A$21,'rank lookup'!$B$1:$B$21,,0)</f>
        <v>12</v>
      </c>
      <c r="J27" s="1"/>
      <c r="K27" s="23">
        <v>182</v>
      </c>
      <c r="L27" s="23">
        <v>142</v>
      </c>
      <c r="M27" s="5">
        <f>L27/(K27*K27)*10000</f>
        <v>42.869218693394522</v>
      </c>
      <c r="N27" s="4">
        <f>CONVERT(K27,"cm","in")</f>
        <v>71.653543307086608</v>
      </c>
      <c r="O27">
        <f>_xlfn.FLOOR.MATH(N27/12)</f>
        <v>5</v>
      </c>
      <c r="P27">
        <f>ROUND(N27-O27*12,1)</f>
        <v>11.7</v>
      </c>
      <c r="Q27" t="str">
        <f>O27&amp;"' "&amp;P27&amp;""""</f>
        <v>5' 11.7"</v>
      </c>
      <c r="R27">
        <f>ROUND(CONVERT(L27,"kg","lbm"),0)</f>
        <v>313</v>
      </c>
      <c r="S27">
        <f t="shared" si="0"/>
        <v>27</v>
      </c>
      <c r="T27">
        <f t="shared" si="0"/>
        <v>32</v>
      </c>
      <c r="U27">
        <f t="shared" si="0"/>
        <v>33</v>
      </c>
      <c r="V27">
        <f>_xlfn.XLOOKUP(A27,'January 2023 Data'!$A$4:$A$49,'January 2023 Data'!$H$4:$H$49,,0)</f>
        <v>182</v>
      </c>
      <c r="W27">
        <f t="shared" si="1"/>
        <v>0</v>
      </c>
      <c r="X27" s="22" t="s">
        <v>220</v>
      </c>
      <c r="Y27" t="str">
        <f t="shared" si="2"/>
        <v>Sadanoumi, 7-6</v>
      </c>
    </row>
    <row r="28" spans="1:25" x14ac:dyDescent="0.35">
      <c r="A28" s="1" t="s">
        <v>103</v>
      </c>
      <c r="B28" s="1"/>
      <c r="C28" s="1" t="s">
        <v>142</v>
      </c>
      <c r="D28" s="1" t="s">
        <v>140</v>
      </c>
      <c r="E28" s="1" t="s">
        <v>141</v>
      </c>
      <c r="F28" s="1" t="s">
        <v>135</v>
      </c>
      <c r="G28" s="1" t="s">
        <v>135</v>
      </c>
      <c r="H28" s="1" t="s">
        <v>143</v>
      </c>
      <c r="I28" s="1">
        <f>_xlfn.XLOOKUP(H28,'rank lookup'!$A$1:$A$21,'rank lookup'!$B$1:$B$21,,0)</f>
        <v>13</v>
      </c>
      <c r="J28" s="1"/>
      <c r="K28" s="23">
        <v>184</v>
      </c>
      <c r="L28" s="23">
        <v>158</v>
      </c>
      <c r="M28" s="5">
        <f>L28/(K28*K28)*10000</f>
        <v>46.668241965973536</v>
      </c>
      <c r="N28" s="4">
        <f>CONVERT(K28,"cm","in")</f>
        <v>72.440944881889763</v>
      </c>
      <c r="O28">
        <f>_xlfn.FLOOR.MATH(N28/12)</f>
        <v>6</v>
      </c>
      <c r="P28">
        <f>ROUND(N28-O28*12,1)</f>
        <v>0.4</v>
      </c>
      <c r="Q28" t="str">
        <f>O28&amp;"' "&amp;P28&amp;""""</f>
        <v>6' 0.4"</v>
      </c>
      <c r="R28">
        <f>ROUND(CONVERT(L28,"kg","lbm"),0)</f>
        <v>348</v>
      </c>
      <c r="S28">
        <f t="shared" si="0"/>
        <v>21</v>
      </c>
      <c r="T28">
        <f t="shared" si="0"/>
        <v>22</v>
      </c>
      <c r="U28">
        <f t="shared" si="0"/>
        <v>22</v>
      </c>
      <c r="V28">
        <f>_xlfn.XLOOKUP(A28,'January 2023 Data'!$A$4:$A$49,'January 2023 Data'!$H$4:$H$49,,0)</f>
        <v>184</v>
      </c>
      <c r="W28">
        <f t="shared" si="1"/>
        <v>0</v>
      </c>
      <c r="X28" s="22" t="s">
        <v>224</v>
      </c>
      <c r="Y28" t="str">
        <f t="shared" si="2"/>
        <v>Hokutofuji, 4-9</v>
      </c>
    </row>
    <row r="29" spans="1:25" x14ac:dyDescent="0.35">
      <c r="A29" s="1" t="s">
        <v>101</v>
      </c>
      <c r="B29" s="1"/>
      <c r="C29" s="1" t="s">
        <v>145</v>
      </c>
      <c r="D29" s="1" t="s">
        <v>143</v>
      </c>
      <c r="E29" s="1" t="s">
        <v>143</v>
      </c>
      <c r="F29" s="1" t="s">
        <v>147</v>
      </c>
      <c r="G29" s="1" t="s">
        <v>142</v>
      </c>
      <c r="H29" s="1" t="s">
        <v>143</v>
      </c>
      <c r="I29" s="1">
        <f>_xlfn.XLOOKUP(H29,'rank lookup'!$A$1:$A$21,'rank lookup'!$B$1:$B$21,,0)</f>
        <v>13</v>
      </c>
      <c r="J29" s="1"/>
      <c r="K29" s="23">
        <v>183</v>
      </c>
      <c r="L29" s="23">
        <v>170</v>
      </c>
      <c r="M29" s="5">
        <f>L29/(K29*K29)*10000</f>
        <v>50.762937083818564</v>
      </c>
      <c r="N29" s="4">
        <f>CONVERT(K29,"cm","in")</f>
        <v>72.047244094488192</v>
      </c>
      <c r="O29">
        <f>_xlfn.FLOOR.MATH(N29/12)</f>
        <v>6</v>
      </c>
      <c r="P29">
        <f>ROUND(N29-O29*12,1)</f>
        <v>0</v>
      </c>
      <c r="Q29" t="str">
        <f>O29&amp;"' "&amp;P29&amp;""""</f>
        <v>6' 0"</v>
      </c>
      <c r="R29">
        <f>ROUND(CONVERT(L29,"kg","lbm"),0)</f>
        <v>375</v>
      </c>
      <c r="S29">
        <f t="shared" si="0"/>
        <v>26</v>
      </c>
      <c r="T29">
        <f t="shared" si="0"/>
        <v>14</v>
      </c>
      <c r="U29">
        <f t="shared" si="0"/>
        <v>10</v>
      </c>
      <c r="V29">
        <f>_xlfn.XLOOKUP(A29,'January 2023 Data'!$A$4:$A$49,'January 2023 Data'!$H$4:$H$49,,0)</f>
        <v>184</v>
      </c>
      <c r="W29">
        <f t="shared" si="1"/>
        <v>-1</v>
      </c>
      <c r="X29" s="22" t="s">
        <v>228</v>
      </c>
      <c r="Y29" t="str">
        <f t="shared" si="2"/>
        <v>Takanosho, 5-8</v>
      </c>
    </row>
    <row r="30" spans="1:25" x14ac:dyDescent="0.35">
      <c r="A30" s="1" t="s">
        <v>189</v>
      </c>
      <c r="F30" t="s">
        <v>151</v>
      </c>
      <c r="G30" t="s">
        <v>140</v>
      </c>
      <c r="H30" s="1" t="s">
        <v>145</v>
      </c>
      <c r="I30" s="1">
        <f>_xlfn.XLOOKUP(H30,'rank lookup'!$A$1:$A$21,'rank lookup'!$B$1:$B$21,,0)</f>
        <v>14</v>
      </c>
      <c r="J30" s="1"/>
      <c r="K30" s="23">
        <v>192</v>
      </c>
      <c r="L30" s="23">
        <v>181</v>
      </c>
      <c r="M30" s="5">
        <f>L30/(K30*K30)*10000</f>
        <v>49.099392361111107</v>
      </c>
      <c r="N30" s="4">
        <f>CONVERT(K30,"cm","in")</f>
        <v>75.59055118110237</v>
      </c>
      <c r="O30">
        <f>_xlfn.FLOOR.MATH(N30/12)</f>
        <v>6</v>
      </c>
      <c r="P30">
        <f>ROUND(N30-O30*12,1)</f>
        <v>3.6</v>
      </c>
      <c r="Q30" t="str">
        <f>O30&amp;"' "&amp;P30&amp;""""</f>
        <v>6' 3.6"</v>
      </c>
      <c r="R30">
        <f>ROUND(CONVERT(L30,"kg","lbm"),0)</f>
        <v>399</v>
      </c>
      <c r="S30">
        <f t="shared" si="0"/>
        <v>2</v>
      </c>
      <c r="T30">
        <f t="shared" si="0"/>
        <v>6</v>
      </c>
      <c r="U30">
        <f t="shared" si="0"/>
        <v>15</v>
      </c>
      <c r="V30" t="e">
        <f>_xlfn.XLOOKUP(A30,'January 2023 Data'!$A$4:$A$49,'January 2023 Data'!$H$4:$H$49,,0)</f>
        <v>#N/A</v>
      </c>
      <c r="W30" t="e">
        <f t="shared" si="1"/>
        <v>#N/A</v>
      </c>
      <c r="X30" s="22" t="s">
        <v>229</v>
      </c>
      <c r="Y30" t="str">
        <f t="shared" si="2"/>
        <v>Kinbozan, 6-7</v>
      </c>
    </row>
    <row r="31" spans="1:25" x14ac:dyDescent="0.35">
      <c r="A31" s="1" t="s">
        <v>97</v>
      </c>
      <c r="B31" s="1"/>
      <c r="C31" s="1" t="s">
        <v>143</v>
      </c>
      <c r="D31" s="1" t="s">
        <v>135</v>
      </c>
      <c r="E31" s="1" t="s">
        <v>141</v>
      </c>
      <c r="F31" s="1" t="s">
        <v>145</v>
      </c>
      <c r="G31" s="1" t="s">
        <v>151</v>
      </c>
      <c r="H31" s="1" t="s">
        <v>145</v>
      </c>
      <c r="I31" s="1">
        <f>_xlfn.XLOOKUP(H31,'rank lookup'!$A$1:$A$21,'rank lookup'!$B$1:$B$21,,0)</f>
        <v>14</v>
      </c>
      <c r="J31" s="1"/>
      <c r="K31" s="23">
        <v>188</v>
      </c>
      <c r="L31" s="23">
        <v>156</v>
      </c>
      <c r="M31" s="5">
        <f>L31/(K31*K31)*10000</f>
        <v>44.137618832050705</v>
      </c>
      <c r="N31" s="4">
        <f>CONVERT(K31,"cm","in")</f>
        <v>74.015748031496059</v>
      </c>
      <c r="O31">
        <f>_xlfn.FLOOR.MATH(N31/12)</f>
        <v>6</v>
      </c>
      <c r="P31">
        <f>ROUND(N31-O31*12,1)</f>
        <v>2</v>
      </c>
      <c r="Q31" t="str">
        <f>O31&amp;"' "&amp;P31&amp;""""</f>
        <v>6' 2"</v>
      </c>
      <c r="R31">
        <f>ROUND(CONVERT(L31,"kg","lbm"),0)</f>
        <v>344</v>
      </c>
      <c r="S31">
        <f t="shared" si="0"/>
        <v>10</v>
      </c>
      <c r="T31">
        <f t="shared" si="0"/>
        <v>24</v>
      </c>
      <c r="U31">
        <f t="shared" si="0"/>
        <v>27</v>
      </c>
      <c r="V31">
        <f>_xlfn.XLOOKUP(A31,'January 2023 Data'!$A$4:$A$49,'January 2023 Data'!$H$4:$H$49,,0)</f>
        <v>189</v>
      </c>
      <c r="W31">
        <f t="shared" si="1"/>
        <v>-1</v>
      </c>
      <c r="X31" s="22" t="s">
        <v>225</v>
      </c>
      <c r="Y31" t="str">
        <f t="shared" si="2"/>
        <v>Myogiryu, 8-5</v>
      </c>
    </row>
    <row r="32" spans="1:25" x14ac:dyDescent="0.35">
      <c r="A32" s="1" t="s">
        <v>122</v>
      </c>
      <c r="B32" s="1"/>
      <c r="C32" s="1" t="s">
        <v>143</v>
      </c>
      <c r="D32" s="1" t="s">
        <v>148</v>
      </c>
      <c r="E32" s="1" t="s">
        <v>150</v>
      </c>
      <c r="F32" s="1" t="s">
        <v>150</v>
      </c>
      <c r="G32" s="1" t="s">
        <v>148</v>
      </c>
      <c r="H32" s="1" t="s">
        <v>147</v>
      </c>
      <c r="I32" s="1">
        <f>_xlfn.XLOOKUP(H32,'rank lookup'!$A$1:$A$21,'rank lookup'!$B$1:$B$21,,0)</f>
        <v>15</v>
      </c>
      <c r="J32" s="1"/>
      <c r="K32" s="23">
        <v>176</v>
      </c>
      <c r="L32" s="23">
        <v>133</v>
      </c>
      <c r="M32" s="5">
        <f>L32/(K32*K32)*10000</f>
        <v>42.936466942148755</v>
      </c>
      <c r="N32" s="4">
        <f>CONVERT(K32,"cm","in")</f>
        <v>69.29133858267717</v>
      </c>
      <c r="O32">
        <f>_xlfn.FLOOR.MATH(N32/12)</f>
        <v>5</v>
      </c>
      <c r="P32">
        <f>ROUND(N32-O32*12,1)</f>
        <v>9.3000000000000007</v>
      </c>
      <c r="Q32" t="str">
        <f>O32&amp;"' "&amp;P32&amp;""""</f>
        <v>5' 9.3"</v>
      </c>
      <c r="R32">
        <f>ROUND(CONVERT(L32,"kg","lbm"),0)</f>
        <v>293</v>
      </c>
      <c r="S32">
        <f t="shared" si="0"/>
        <v>34</v>
      </c>
      <c r="T32">
        <f t="shared" si="0"/>
        <v>37</v>
      </c>
      <c r="U32">
        <f t="shared" si="0"/>
        <v>32</v>
      </c>
      <c r="V32">
        <f>_xlfn.XLOOKUP(A32,'January 2023 Data'!$A$4:$A$49,'January 2023 Data'!$H$4:$H$49,,0)</f>
        <v>176</v>
      </c>
      <c r="W32">
        <f t="shared" si="1"/>
        <v>0</v>
      </c>
      <c r="X32" s="22" t="s">
        <v>228</v>
      </c>
      <c r="Y32" t="str">
        <f t="shared" si="2"/>
        <v>Kotoeko, 5-8</v>
      </c>
    </row>
    <row r="33" spans="1:25" x14ac:dyDescent="0.35">
      <c r="A33" s="1" t="s">
        <v>108</v>
      </c>
      <c r="B33" s="1"/>
      <c r="C33" s="1" t="s">
        <v>152</v>
      </c>
      <c r="D33" s="1" t="s">
        <v>170</v>
      </c>
      <c r="E33" s="1" t="s">
        <v>152</v>
      </c>
      <c r="F33" s="1" t="s">
        <v>154</v>
      </c>
      <c r="G33" s="1" t="s">
        <v>152</v>
      </c>
      <c r="H33" s="1" t="s">
        <v>147</v>
      </c>
      <c r="I33" s="1">
        <f>_xlfn.XLOOKUP(H33,'rank lookup'!$A$1:$A$21,'rank lookup'!$B$1:$B$21,,0)</f>
        <v>15</v>
      </c>
      <c r="J33" s="1"/>
      <c r="K33" s="23">
        <v>185</v>
      </c>
      <c r="L33" s="23">
        <v>194</v>
      </c>
      <c r="M33" s="5">
        <f>L33/(K33*K33)*10000</f>
        <v>56.683710737764791</v>
      </c>
      <c r="N33" s="4">
        <f>CONVERT(K33,"cm","in")</f>
        <v>72.834645669291348</v>
      </c>
      <c r="O33">
        <f>_xlfn.FLOOR.MATH(N33/12)</f>
        <v>6</v>
      </c>
      <c r="P33">
        <f>ROUND(N33-O33*12,1)</f>
        <v>0.8</v>
      </c>
      <c r="Q33" t="str">
        <f>O33&amp;"' "&amp;P33&amp;""""</f>
        <v>6' 0.8"</v>
      </c>
      <c r="R33">
        <f>ROUND(CONVERT(L33,"kg","lbm"),0)</f>
        <v>428</v>
      </c>
      <c r="S33">
        <f t="shared" si="0"/>
        <v>18</v>
      </c>
      <c r="T33">
        <f t="shared" si="0"/>
        <v>2</v>
      </c>
      <c r="U33">
        <f t="shared" si="0"/>
        <v>3</v>
      </c>
      <c r="V33">
        <f>_xlfn.XLOOKUP(A33,'January 2023 Data'!$A$4:$A$49,'January 2023 Data'!$H$4:$H$49,,0)</f>
        <v>184</v>
      </c>
      <c r="W33">
        <f t="shared" si="1"/>
        <v>1</v>
      </c>
      <c r="X33" s="22" t="s">
        <v>220</v>
      </c>
      <c r="Y33" t="str">
        <f t="shared" si="2"/>
        <v>Tsurugisho, 7-6</v>
      </c>
    </row>
    <row r="34" spans="1:25" x14ac:dyDescent="0.35">
      <c r="A34" s="1" t="s">
        <v>114</v>
      </c>
      <c r="B34" s="1"/>
      <c r="C34" s="1" t="s">
        <v>31</v>
      </c>
      <c r="D34" s="1" t="s">
        <v>31</v>
      </c>
      <c r="E34" s="1" t="s">
        <v>31</v>
      </c>
      <c r="F34" s="1" t="s">
        <v>31</v>
      </c>
      <c r="G34" s="1" t="s">
        <v>42</v>
      </c>
      <c r="H34" s="1" t="s">
        <v>148</v>
      </c>
      <c r="I34" s="1">
        <f>_xlfn.XLOOKUP(H34,'rank lookup'!$A$1:$A$21,'rank lookup'!$B$1:$B$21,,0)</f>
        <v>16</v>
      </c>
      <c r="J34" s="1"/>
      <c r="K34" s="23">
        <v>182</v>
      </c>
      <c r="L34" s="23">
        <v>132</v>
      </c>
      <c r="M34" s="5">
        <f>L34/(K34*K34)*10000</f>
        <v>39.850259630479414</v>
      </c>
      <c r="N34" s="4">
        <f>CONVERT(K34,"cm","in")</f>
        <v>71.653543307086608</v>
      </c>
      <c r="O34">
        <f>_xlfn.FLOOR.MATH(N34/12)</f>
        <v>5</v>
      </c>
      <c r="P34">
        <f>ROUND(N34-O34*12,1)</f>
        <v>11.7</v>
      </c>
      <c r="Q34" t="str">
        <f>O34&amp;"' "&amp;P34&amp;""""</f>
        <v>5' 11.7"</v>
      </c>
      <c r="R34">
        <f>ROUND(CONVERT(L34,"kg","lbm"),0)</f>
        <v>291</v>
      </c>
      <c r="S34">
        <f t="shared" si="0"/>
        <v>27</v>
      </c>
      <c r="T34">
        <f t="shared" si="0"/>
        <v>38</v>
      </c>
      <c r="U34">
        <f t="shared" si="0"/>
        <v>38</v>
      </c>
      <c r="V34">
        <f>_xlfn.XLOOKUP(A34,'January 2023 Data'!$A$4:$A$49,'January 2023 Data'!$H$4:$H$49,,0)</f>
        <v>183</v>
      </c>
      <c r="W34">
        <f t="shared" si="1"/>
        <v>-1</v>
      </c>
      <c r="X34" s="22" t="s">
        <v>226</v>
      </c>
      <c r="Y34" t="str">
        <f t="shared" si="2"/>
        <v>Wakatakakage, 3-10</v>
      </c>
    </row>
    <row r="35" spans="1:25" x14ac:dyDescent="0.35">
      <c r="A35" s="1" t="s">
        <v>110</v>
      </c>
      <c r="B35" s="1"/>
      <c r="C35" s="1" t="s">
        <v>151</v>
      </c>
      <c r="D35" s="1" t="s">
        <v>145</v>
      </c>
      <c r="E35" s="1" t="s">
        <v>147</v>
      </c>
      <c r="F35" s="1" t="s">
        <v>154</v>
      </c>
      <c r="G35" s="1" t="s">
        <v>150</v>
      </c>
      <c r="H35" s="1" t="s">
        <v>148</v>
      </c>
      <c r="I35" s="1">
        <f>_xlfn.XLOOKUP(H35,'rank lookup'!$A$1:$A$21,'rank lookup'!$B$1:$B$21,,0)</f>
        <v>16</v>
      </c>
      <c r="J35" s="1"/>
      <c r="K35" s="23">
        <v>184</v>
      </c>
      <c r="L35" s="23">
        <v>137</v>
      </c>
      <c r="M35" s="5">
        <f>L35/(K35*K35)*10000</f>
        <v>40.465500945179578</v>
      </c>
      <c r="N35" s="4">
        <f>CONVERT(K35,"cm","in")</f>
        <v>72.440944881889763</v>
      </c>
      <c r="O35">
        <f>_xlfn.FLOOR.MATH(N35/12)</f>
        <v>6</v>
      </c>
      <c r="P35">
        <f>ROUND(N35-O35*12,1)</f>
        <v>0.4</v>
      </c>
      <c r="Q35" t="str">
        <f>O35&amp;"' "&amp;P35&amp;""""</f>
        <v>6' 0.4"</v>
      </c>
      <c r="R35">
        <f>ROUND(CONVERT(L35,"kg","lbm"),0)</f>
        <v>302</v>
      </c>
      <c r="S35">
        <f t="shared" si="0"/>
        <v>21</v>
      </c>
      <c r="T35">
        <f t="shared" si="0"/>
        <v>34</v>
      </c>
      <c r="U35">
        <f t="shared" si="0"/>
        <v>36</v>
      </c>
      <c r="V35">
        <f>_xlfn.XLOOKUP(A35,'January 2023 Data'!$A$4:$A$49,'January 2023 Data'!$H$4:$H$49,,0)</f>
        <v>183</v>
      </c>
      <c r="W35">
        <f t="shared" si="1"/>
        <v>1</v>
      </c>
      <c r="X35" s="22" t="s">
        <v>228</v>
      </c>
      <c r="Y35" t="str">
        <f t="shared" si="2"/>
        <v>Chiyoshoma, 5-8</v>
      </c>
    </row>
    <row r="36" spans="1:25" x14ac:dyDescent="0.35">
      <c r="A36" t="s">
        <v>146</v>
      </c>
      <c r="C36" s="1" t="s">
        <v>147</v>
      </c>
      <c r="D36" s="1" t="s">
        <v>147</v>
      </c>
      <c r="E36" s="1" t="s">
        <v>150</v>
      </c>
      <c r="F36" s="1" t="s">
        <v>140</v>
      </c>
      <c r="G36" s="1" t="s">
        <v>140</v>
      </c>
      <c r="H36" s="1" t="s">
        <v>150</v>
      </c>
      <c r="I36" s="1">
        <f>_xlfn.XLOOKUP(H36,'rank lookup'!$A$1:$A$21,'rank lookup'!$B$1:$B$21,,0)</f>
        <v>17</v>
      </c>
      <c r="J36" s="1"/>
      <c r="K36" s="23">
        <v>191</v>
      </c>
      <c r="L36" s="23">
        <v>161</v>
      </c>
      <c r="M36" s="5">
        <f>L36/(K36*K36)*10000</f>
        <v>44.13256215564266</v>
      </c>
      <c r="N36" s="4">
        <f>CONVERT(K36,"cm","in")</f>
        <v>75.196850393700785</v>
      </c>
      <c r="O36">
        <f>_xlfn.FLOOR.MATH(N36/12)</f>
        <v>6</v>
      </c>
      <c r="P36">
        <f>ROUND(N36-O36*12,1)</f>
        <v>3.2</v>
      </c>
      <c r="Q36" t="str">
        <f>O36&amp;"' "&amp;P36&amp;""""</f>
        <v>6' 3.2"</v>
      </c>
      <c r="R36">
        <f>ROUND(CONVERT(L36,"kg","lbm"),0)</f>
        <v>355</v>
      </c>
      <c r="S36">
        <f t="shared" si="0"/>
        <v>4</v>
      </c>
      <c r="T36">
        <f t="shared" si="0"/>
        <v>20</v>
      </c>
      <c r="U36">
        <f t="shared" si="0"/>
        <v>28</v>
      </c>
      <c r="V36">
        <f>_xlfn.XLOOKUP(A36,'January 2023 Data'!$A$4:$A$49,'January 2023 Data'!$H$4:$H$49,,0)</f>
        <v>189</v>
      </c>
      <c r="W36">
        <f t="shared" si="1"/>
        <v>2</v>
      </c>
      <c r="X36" s="22" t="s">
        <v>229</v>
      </c>
      <c r="Y36" t="str">
        <f t="shared" si="2"/>
        <v>Kotoshoho, 6-7</v>
      </c>
    </row>
    <row r="37" spans="1:25" x14ac:dyDescent="0.35">
      <c r="A37" s="1" t="s">
        <v>243</v>
      </c>
      <c r="H37" t="s">
        <v>150</v>
      </c>
      <c r="I37" s="1">
        <f>_xlfn.XLOOKUP(H37,'rank lookup'!$A$1:$A$21,'rank lookup'!$B$1:$B$21,,0)</f>
        <v>17</v>
      </c>
      <c r="S37" t="e">
        <f t="shared" si="0"/>
        <v>#N/A</v>
      </c>
      <c r="T37" t="e">
        <f t="shared" si="0"/>
        <v>#N/A</v>
      </c>
      <c r="U37" t="e">
        <f t="shared" si="0"/>
        <v>#N/A</v>
      </c>
      <c r="V37" t="e">
        <f>_xlfn.XLOOKUP(A37,'January 2023 Data'!$A$4:$A$49,'January 2023 Data'!$H$4:$H$49,,0)</f>
        <v>#N/A</v>
      </c>
      <c r="W37" t="e">
        <f t="shared" si="1"/>
        <v>#N/A</v>
      </c>
      <c r="X37" s="22" t="s">
        <v>225</v>
      </c>
      <c r="Y37" t="str">
        <f t="shared" si="2"/>
        <v>Gonoyama, 8-5</v>
      </c>
    </row>
    <row r="38" spans="1:25" x14ac:dyDescent="0.35">
      <c r="A38" s="1" t="s">
        <v>188</v>
      </c>
      <c r="F38" t="s">
        <v>150</v>
      </c>
      <c r="G38" t="s">
        <v>147</v>
      </c>
      <c r="H38" s="1" t="s">
        <v>151</v>
      </c>
      <c r="I38" s="1">
        <f>_xlfn.XLOOKUP(H38,'rank lookup'!$A$1:$A$21,'rank lookup'!$B$1:$B$21,,0)</f>
        <v>18</v>
      </c>
      <c r="J38" s="1"/>
      <c r="K38" s="23">
        <v>185</v>
      </c>
      <c r="L38" s="23">
        <v>196</v>
      </c>
      <c r="M38" s="5">
        <f>L38/(K38*K38)*10000</f>
        <v>57.268078889700504</v>
      </c>
      <c r="N38" s="4">
        <f>CONVERT(K38,"cm","in")</f>
        <v>72.834645669291348</v>
      </c>
      <c r="O38">
        <f>_xlfn.FLOOR.MATH(N38/12)</f>
        <v>6</v>
      </c>
      <c r="P38">
        <f>ROUND(N38-O38*12,1)</f>
        <v>0.8</v>
      </c>
      <c r="Q38" t="str">
        <f>O38&amp;"' "&amp;P38&amp;""""</f>
        <v>6' 0.8"</v>
      </c>
      <c r="R38">
        <f>ROUND(CONVERT(L38,"kg","lbm"),0)</f>
        <v>432</v>
      </c>
      <c r="S38">
        <f t="shared" si="0"/>
        <v>18</v>
      </c>
      <c r="T38">
        <f t="shared" si="0"/>
        <v>1</v>
      </c>
      <c r="U38">
        <f t="shared" si="0"/>
        <v>2</v>
      </c>
      <c r="V38" t="e">
        <f>_xlfn.XLOOKUP(A38,'January 2023 Data'!$A$4:$A$49,'January 2023 Data'!$H$4:$H$49,,0)</f>
        <v>#N/A</v>
      </c>
      <c r="W38" t="e">
        <f t="shared" si="1"/>
        <v>#N/A</v>
      </c>
      <c r="X38" s="22" t="s">
        <v>225</v>
      </c>
      <c r="Y38" t="str">
        <f t="shared" si="2"/>
        <v>Daishoho, 8-5</v>
      </c>
    </row>
    <row r="39" spans="1:25" x14ac:dyDescent="0.35">
      <c r="A39" s="1" t="s">
        <v>244</v>
      </c>
      <c r="H39" t="s">
        <v>151</v>
      </c>
      <c r="I39" s="1">
        <f>_xlfn.XLOOKUP(H39,'rank lookup'!$A$1:$A$21,'rank lookup'!$B$1:$B$21,,0)</f>
        <v>18</v>
      </c>
      <c r="S39" t="e">
        <f t="shared" si="0"/>
        <v>#N/A</v>
      </c>
      <c r="T39" t="e">
        <f t="shared" si="0"/>
        <v>#N/A</v>
      </c>
      <c r="U39" t="e">
        <f t="shared" si="0"/>
        <v>#N/A</v>
      </c>
      <c r="V39" t="e">
        <f>_xlfn.XLOOKUP(A39,'January 2023 Data'!$A$4:$A$49,'January 2023 Data'!$H$4:$H$49,,0)</f>
        <v>#N/A</v>
      </c>
      <c r="W39" t="e">
        <f t="shared" si="1"/>
        <v>#N/A</v>
      </c>
      <c r="X39" s="22" t="s">
        <v>221</v>
      </c>
      <c r="Y39" t="str">
        <f t="shared" si="2"/>
        <v>Shonannoumi, 9-4</v>
      </c>
    </row>
    <row r="40" spans="1:25" x14ac:dyDescent="0.35">
      <c r="A40" t="s">
        <v>149</v>
      </c>
      <c r="C40" s="1" t="s">
        <v>148</v>
      </c>
      <c r="D40" s="1" t="s">
        <v>141</v>
      </c>
      <c r="E40" s="1" t="s">
        <v>140</v>
      </c>
      <c r="F40" s="1" t="s">
        <v>136</v>
      </c>
      <c r="G40" s="1" t="s">
        <v>145</v>
      </c>
      <c r="H40" s="1" t="s">
        <v>152</v>
      </c>
      <c r="I40" s="1">
        <f>_xlfn.XLOOKUP(H40,'rank lookup'!$A$1:$A$21,'rank lookup'!$B$1:$B$21,,0)</f>
        <v>19</v>
      </c>
      <c r="J40" s="1"/>
      <c r="K40" s="24">
        <v>188</v>
      </c>
      <c r="L40" s="23">
        <v>155</v>
      </c>
      <c r="M40" s="5">
        <f>L40/(K40*K40)*10000</f>
        <v>43.854685377999097</v>
      </c>
      <c r="N40" s="4">
        <f>CONVERT(K40,"cm","in")</f>
        <v>74.015748031496059</v>
      </c>
      <c r="O40">
        <f>_xlfn.FLOOR.MATH(N40/12)</f>
        <v>6</v>
      </c>
      <c r="P40">
        <f>ROUND(N40-O40*12,1)</f>
        <v>2</v>
      </c>
      <c r="Q40" t="str">
        <f>O40&amp;"' "&amp;P40&amp;""""</f>
        <v>6' 2"</v>
      </c>
      <c r="R40">
        <f>ROUND(CONVERT(L40,"kg","lbm"),0)</f>
        <v>342</v>
      </c>
      <c r="S40">
        <f t="shared" si="0"/>
        <v>10</v>
      </c>
      <c r="T40">
        <f t="shared" si="0"/>
        <v>25</v>
      </c>
      <c r="U40">
        <f t="shared" si="0"/>
        <v>30</v>
      </c>
      <c r="V40">
        <f>_xlfn.XLOOKUP(A40,'January 2023 Data'!$A$4:$A$49,'January 2023 Data'!$H$4:$H$49,,0)</f>
        <v>187</v>
      </c>
      <c r="W40">
        <f t="shared" si="1"/>
        <v>1</v>
      </c>
      <c r="X40" s="22" t="s">
        <v>224</v>
      </c>
      <c r="Y40" t="str">
        <f t="shared" si="2"/>
        <v>Ryuden, 4-9</v>
      </c>
    </row>
    <row r="41" spans="1:25" x14ac:dyDescent="0.35">
      <c r="A41" s="1" t="s">
        <v>104</v>
      </c>
      <c r="B41" s="1"/>
      <c r="C41" s="1" t="s">
        <v>140</v>
      </c>
      <c r="D41" s="1" t="s">
        <v>142</v>
      </c>
      <c r="E41" s="1" t="s">
        <v>154</v>
      </c>
      <c r="F41" s="1" t="s">
        <v>148</v>
      </c>
      <c r="G41" s="1" t="s">
        <v>145</v>
      </c>
      <c r="H41" s="1" t="s">
        <v>152</v>
      </c>
      <c r="I41" s="1">
        <f>_xlfn.XLOOKUP(H41,'rank lookup'!$A$1:$A$21,'rank lookup'!$B$1:$B$21,,0)</f>
        <v>19</v>
      </c>
      <c r="J41" s="1"/>
      <c r="K41" s="23">
        <v>186</v>
      </c>
      <c r="L41" s="23">
        <v>171</v>
      </c>
      <c r="M41" s="5">
        <f>L41/(K41*K41)*10000</f>
        <v>49.427679500520291</v>
      </c>
      <c r="N41" s="4">
        <f>CONVERT(K41,"cm","in")</f>
        <v>73.228346456692918</v>
      </c>
      <c r="O41">
        <f>_xlfn.FLOOR.MATH(N41/12)</f>
        <v>6</v>
      </c>
      <c r="P41">
        <f>ROUND(N41-O41*12,1)</f>
        <v>1.2</v>
      </c>
      <c r="Q41" t="str">
        <f>O41&amp;"' "&amp;P41&amp;""""</f>
        <v>6' 1.2"</v>
      </c>
      <c r="R41">
        <f>ROUND(CONVERT(L41,"kg","lbm"),0)</f>
        <v>377</v>
      </c>
      <c r="S41">
        <f t="shared" si="0"/>
        <v>15</v>
      </c>
      <c r="T41">
        <f t="shared" si="0"/>
        <v>12</v>
      </c>
      <c r="U41">
        <f t="shared" si="0"/>
        <v>13</v>
      </c>
      <c r="V41">
        <f>_xlfn.XLOOKUP(A41,'January 2023 Data'!$A$4:$A$49,'January 2023 Data'!$H$4:$H$49,,0)</f>
        <v>186</v>
      </c>
      <c r="W41">
        <f t="shared" si="1"/>
        <v>0</v>
      </c>
      <c r="X41" s="22" t="s">
        <v>229</v>
      </c>
      <c r="Y41" t="str">
        <f t="shared" si="2"/>
        <v>Takarafuji, 6-7</v>
      </c>
    </row>
    <row r="42" spans="1:25" x14ac:dyDescent="0.35">
      <c r="A42" s="1" t="s">
        <v>99</v>
      </c>
      <c r="B42" s="1"/>
      <c r="C42" s="1" t="s">
        <v>141</v>
      </c>
      <c r="D42" s="1" t="s">
        <v>135</v>
      </c>
      <c r="E42" s="1" t="s">
        <v>143</v>
      </c>
      <c r="F42" s="1" t="s">
        <v>141</v>
      </c>
      <c r="G42" s="1" t="s">
        <v>136</v>
      </c>
      <c r="H42" s="1" t="s">
        <v>154</v>
      </c>
      <c r="I42" s="1">
        <f>_xlfn.XLOOKUP(H42,'rank lookup'!$A$1:$A$21,'rank lookup'!$B$1:$B$21,,0)</f>
        <v>20</v>
      </c>
      <c r="J42" s="1"/>
      <c r="K42" s="23">
        <v>184</v>
      </c>
      <c r="L42" s="23">
        <v>150</v>
      </c>
      <c r="M42" s="5">
        <f>L42/(K42*K42)*10000</f>
        <v>44.305293005671075</v>
      </c>
      <c r="N42" s="4">
        <f>CONVERT(K42,"cm","in")</f>
        <v>72.440944881889763</v>
      </c>
      <c r="O42">
        <f>_xlfn.FLOOR.MATH(N42/12)</f>
        <v>6</v>
      </c>
      <c r="P42">
        <f>ROUND(N42-O42*12,1)</f>
        <v>0.4</v>
      </c>
      <c r="Q42" t="str">
        <f>O42&amp;"' "&amp;P42&amp;""""</f>
        <v>6' 0.4"</v>
      </c>
      <c r="R42">
        <f>ROUND(CONVERT(L42,"kg","lbm"),0)</f>
        <v>331</v>
      </c>
      <c r="S42">
        <f t="shared" si="0"/>
        <v>21</v>
      </c>
      <c r="T42">
        <f t="shared" si="0"/>
        <v>27</v>
      </c>
      <c r="U42">
        <f t="shared" si="0"/>
        <v>26</v>
      </c>
      <c r="V42">
        <f>_xlfn.XLOOKUP(A42,'January 2023 Data'!$A$4:$A$49,'January 2023 Data'!$H$4:$H$49,,0)</f>
        <v>183</v>
      </c>
      <c r="W42">
        <f t="shared" si="1"/>
        <v>1</v>
      </c>
      <c r="X42" s="22" t="s">
        <v>220</v>
      </c>
      <c r="Y42" t="str">
        <f t="shared" si="2"/>
        <v>Endo, 7-6</v>
      </c>
    </row>
    <row r="43" spans="1:25" x14ac:dyDescent="0.35">
      <c r="A43" s="1" t="s">
        <v>190</v>
      </c>
      <c r="F43" t="s">
        <v>151</v>
      </c>
      <c r="G43" s="1" t="s">
        <v>170</v>
      </c>
      <c r="H43" s="1" t="s">
        <v>154</v>
      </c>
      <c r="I43" s="1">
        <f>_xlfn.XLOOKUP(H43,'rank lookup'!$A$1:$A$21,'rank lookup'!$B$1:$B$21,,0)</f>
        <v>20</v>
      </c>
      <c r="K43" s="23">
        <v>171</v>
      </c>
      <c r="L43" s="23">
        <v>171</v>
      </c>
      <c r="M43" s="5">
        <f>L43/(K43*K43)*10000</f>
        <v>58.479532163742689</v>
      </c>
      <c r="N43" s="4">
        <f>CONVERT(K43,"cm","in")</f>
        <v>67.322834645669289</v>
      </c>
      <c r="O43">
        <f>_xlfn.FLOOR.MATH(N43/12)</f>
        <v>5</v>
      </c>
      <c r="P43">
        <f>ROUND(N43-O43*12,1)</f>
        <v>7.3</v>
      </c>
      <c r="Q43" t="str">
        <f>O43&amp;"' "&amp;P43&amp;""""</f>
        <v>5' 7.3"</v>
      </c>
      <c r="R43">
        <f>ROUND(CONVERT(L43,"kg","lbm"),0)</f>
        <v>377</v>
      </c>
      <c r="S43">
        <f t="shared" si="0"/>
        <v>38</v>
      </c>
      <c r="T43">
        <f t="shared" si="0"/>
        <v>12</v>
      </c>
      <c r="U43">
        <f t="shared" si="0"/>
        <v>1</v>
      </c>
      <c r="V43" t="e">
        <f>_xlfn.XLOOKUP(A43,'January 2023 Data'!$A$4:$A$49,'January 2023 Data'!$H$4:$H$49,,0)</f>
        <v>#N/A</v>
      </c>
      <c r="W43" t="e">
        <f t="shared" si="1"/>
        <v>#N/A</v>
      </c>
      <c r="X43" s="22" t="s">
        <v>225</v>
      </c>
      <c r="Y43" t="str">
        <f t="shared" si="2"/>
        <v>Bushozan, 8-5</v>
      </c>
    </row>
    <row r="44" spans="1:25" x14ac:dyDescent="0.35">
      <c r="A44" s="1" t="s">
        <v>91</v>
      </c>
      <c r="B44" s="1"/>
      <c r="C44" s="1" t="s">
        <v>135</v>
      </c>
      <c r="D44" s="1" t="s">
        <v>145</v>
      </c>
      <c r="E44" s="1" t="s">
        <v>145</v>
      </c>
      <c r="F44" s="1" t="s">
        <v>143</v>
      </c>
      <c r="G44" s="1" t="s">
        <v>148</v>
      </c>
      <c r="H44" s="1" t="s">
        <v>186</v>
      </c>
      <c r="I44" s="1">
        <f>_xlfn.XLOOKUP(H44,'rank lookup'!$A$1:$A$21,'rank lookup'!$B$1:$B$21,,0)</f>
        <v>21</v>
      </c>
      <c r="J44" s="1"/>
      <c r="K44" s="23">
        <v>191</v>
      </c>
      <c r="L44" s="23">
        <v>186</v>
      </c>
      <c r="M44" s="5">
        <f>L44/(K44*K44)*10000</f>
        <v>50.985444477947425</v>
      </c>
      <c r="N44" s="4">
        <f>CONVERT(K44,"cm","in")</f>
        <v>75.196850393700785</v>
      </c>
      <c r="O44">
        <f>_xlfn.FLOOR.MATH(N44/12)</f>
        <v>6</v>
      </c>
      <c r="P44">
        <f>ROUND(N44-O44*12,1)</f>
        <v>3.2</v>
      </c>
      <c r="Q44" t="str">
        <f>O44&amp;"' "&amp;P44&amp;""""</f>
        <v>6' 3.2"</v>
      </c>
      <c r="R44">
        <f>ROUND(CONVERT(L44,"kg","lbm"),0)</f>
        <v>410</v>
      </c>
      <c r="S44">
        <f t="shared" si="0"/>
        <v>4</v>
      </c>
      <c r="T44">
        <f t="shared" si="0"/>
        <v>3</v>
      </c>
      <c r="U44">
        <f t="shared" si="0"/>
        <v>9</v>
      </c>
      <c r="V44">
        <f>_xlfn.XLOOKUP(A44,'January 2023 Data'!$A$4:$A$49,'January 2023 Data'!$H$4:$H$49,,0)</f>
        <v>190</v>
      </c>
      <c r="W44">
        <f t="shared" si="1"/>
        <v>1</v>
      </c>
      <c r="X44" s="22" t="s">
        <v>220</v>
      </c>
      <c r="Y44" t="str">
        <f t="shared" si="2"/>
        <v>Aoiyama, 7-6</v>
      </c>
    </row>
    <row r="45" spans="1:25" x14ac:dyDescent="0.35">
      <c r="A45" s="1" t="s">
        <v>245</v>
      </c>
      <c r="H45" t="s">
        <v>186</v>
      </c>
      <c r="I45" s="1">
        <f>_xlfn.XLOOKUP(H45,'rank lookup'!$A$1:$A$21,'rank lookup'!$B$1:$B$21,,0)</f>
        <v>21</v>
      </c>
      <c r="S45" t="e">
        <f t="shared" si="0"/>
        <v>#N/A</v>
      </c>
      <c r="T45" t="e">
        <f t="shared" si="0"/>
        <v>#N/A</v>
      </c>
      <c r="U45" t="e">
        <f t="shared" si="0"/>
        <v>#N/A</v>
      </c>
      <c r="V45" t="e">
        <f>_xlfn.XLOOKUP(A45,'January 2023 Data'!$A$4:$A$49,'January 2023 Data'!$H$4:$H$49,,0)</f>
        <v>#N/A</v>
      </c>
      <c r="W45" t="e">
        <f t="shared" si="1"/>
        <v>#N/A</v>
      </c>
      <c r="X45" s="22" t="s">
        <v>220</v>
      </c>
      <c r="Y45" t="str">
        <f t="shared" si="2"/>
        <v>Hakuoho, 7-6</v>
      </c>
    </row>
    <row r="46" spans="1:25" x14ac:dyDescent="0.35">
      <c r="A46" s="1" t="s">
        <v>89</v>
      </c>
      <c r="B46" s="1">
        <v>1</v>
      </c>
      <c r="C46" s="1" t="s">
        <v>42</v>
      </c>
      <c r="D46" s="1" t="s">
        <v>136</v>
      </c>
      <c r="E46" s="1" t="s">
        <v>135</v>
      </c>
      <c r="F46" s="1" t="s">
        <v>170</v>
      </c>
      <c r="G46" s="1" t="s">
        <v>150</v>
      </c>
      <c r="H46" s="1" t="s">
        <v>179</v>
      </c>
      <c r="I46" s="1" t="e">
        <f>_xlfn.XLOOKUP(H46,'rank lookup'!$A$1:$A$21,'rank lookup'!$B$1:$B$21,,0)</f>
        <v>#N/A</v>
      </c>
      <c r="J46" s="1"/>
      <c r="K46" s="23">
        <v>191</v>
      </c>
      <c r="L46" s="23">
        <v>219</v>
      </c>
      <c r="M46" s="5">
        <f>L46/(K46*K46)*10000</f>
        <v>60.031249143389715</v>
      </c>
      <c r="N46" s="4">
        <f>CONVERT(K46,"cm","in")</f>
        <v>75.196850393700785</v>
      </c>
      <c r="O46">
        <f>_xlfn.FLOOR.MATH(N46/12)</f>
        <v>6</v>
      </c>
      <c r="P46">
        <f>ROUND(N46-O46*12,1)</f>
        <v>3.2</v>
      </c>
      <c r="Q46" t="str">
        <f>O46&amp;"' "&amp;P46&amp;""""</f>
        <v>6' 3.2"</v>
      </c>
      <c r="R46">
        <f>ROUND(CONVERT(L46,"kg","lbm"),0)</f>
        <v>483</v>
      </c>
      <c r="V46">
        <f>_xlfn.XLOOKUP(A46,'January 2023 Data'!$A$4:$A$49,'January 2023 Data'!$H$4:$H$49,,0)</f>
        <v>190</v>
      </c>
      <c r="W46">
        <f>K46-V46</f>
        <v>1</v>
      </c>
      <c r="Y46" t="str">
        <f t="shared" si="2"/>
        <v xml:space="preserve">Ichinojo, </v>
      </c>
    </row>
    <row r="47" spans="1:25" x14ac:dyDescent="0.35">
      <c r="A47" s="1" t="s">
        <v>98</v>
      </c>
      <c r="B47" s="1"/>
      <c r="C47" s="1" t="s">
        <v>150</v>
      </c>
      <c r="D47" s="1" t="s">
        <v>151</v>
      </c>
      <c r="E47" s="1" t="s">
        <v>151</v>
      </c>
      <c r="F47" s="1" t="s">
        <v>142</v>
      </c>
      <c r="G47" s="1" t="s">
        <v>152</v>
      </c>
      <c r="H47" s="1" t="s">
        <v>170</v>
      </c>
      <c r="I47" s="1" t="e">
        <f>_xlfn.XLOOKUP(H47,'rank lookup'!$A$1:$A$21,'rank lookup'!$B$1:$B$21,,0)</f>
        <v>#N/A</v>
      </c>
      <c r="J47" s="1"/>
      <c r="K47" s="23">
        <v>187</v>
      </c>
      <c r="L47" s="23">
        <v>144</v>
      </c>
      <c r="M47" s="5">
        <f>L47/(K47*K47)*10000</f>
        <v>41.179330263948074</v>
      </c>
      <c r="N47" s="4">
        <f>CONVERT(K47,"cm","in")</f>
        <v>73.622047244094489</v>
      </c>
      <c r="O47">
        <f>_xlfn.FLOOR.MATH(N47/12)</f>
        <v>6</v>
      </c>
      <c r="P47">
        <f>ROUND(N47-O47*12,1)</f>
        <v>1.6</v>
      </c>
      <c r="Q47" t="str">
        <f>O47&amp;"' "&amp;P47&amp;""""</f>
        <v>6' 1.6"</v>
      </c>
      <c r="R47">
        <f>ROUND(CONVERT(L47,"kg","lbm"),0)</f>
        <v>317</v>
      </c>
      <c r="V47">
        <f>_xlfn.XLOOKUP(A47,'January 2023 Data'!$A$4:$A$49,'January 2023 Data'!$H$4:$H$49,,0)</f>
        <v>187</v>
      </c>
      <c r="W47">
        <f t="shared" si="1"/>
        <v>0</v>
      </c>
      <c r="Y47" t="str">
        <f t="shared" si="2"/>
        <v xml:space="preserve">Ichiyamamoto, </v>
      </c>
    </row>
    <row r="48" spans="1:25" x14ac:dyDescent="0.35">
      <c r="A48" t="s">
        <v>153</v>
      </c>
      <c r="C48" s="1" t="s">
        <v>154</v>
      </c>
      <c r="D48" s="1" t="s">
        <v>170</v>
      </c>
      <c r="E48" s="1" t="s">
        <v>152</v>
      </c>
      <c r="F48" s="1" t="s">
        <v>186</v>
      </c>
      <c r="G48" s="1" t="s">
        <v>154</v>
      </c>
      <c r="H48" s="1" t="s">
        <v>192</v>
      </c>
      <c r="I48" s="1" t="e">
        <f>_xlfn.XLOOKUP(H48,'rank lookup'!$A$1:$A$21,'rank lookup'!$B$1:$B$21,,0)</f>
        <v>#N/A</v>
      </c>
      <c r="J48" s="1"/>
      <c r="K48" s="23">
        <v>189</v>
      </c>
      <c r="L48" s="23">
        <v>199</v>
      </c>
      <c r="M48" s="5">
        <f>L48/(K48*K48)*10000</f>
        <v>55.709526608997514</v>
      </c>
      <c r="N48" s="4">
        <f>CONVERT(K48,"cm","in")</f>
        <v>74.409448818897644</v>
      </c>
      <c r="O48">
        <f>_xlfn.FLOOR.MATH(N48/12)</f>
        <v>6</v>
      </c>
      <c r="P48">
        <f>ROUND(N48-O48*12,1)</f>
        <v>2.4</v>
      </c>
      <c r="Q48" t="str">
        <f>O48&amp;"' "&amp;P48&amp;""""</f>
        <v>6' 2.4"</v>
      </c>
      <c r="R48">
        <f>ROUND(CONVERT(L48,"kg","lbm"),0)</f>
        <v>439</v>
      </c>
      <c r="V48">
        <f>_xlfn.XLOOKUP(A48,'January 2023 Data'!$A$4:$A$49,'January 2023 Data'!$H$4:$H$49,,0)</f>
        <v>190</v>
      </c>
      <c r="W48">
        <f t="shared" si="1"/>
        <v>-1</v>
      </c>
      <c r="Y48" t="str">
        <f t="shared" si="2"/>
        <v xml:space="preserve">Mitoryu, </v>
      </c>
    </row>
    <row r="49" spans="1:25" x14ac:dyDescent="0.35">
      <c r="A49" s="1" t="s">
        <v>167</v>
      </c>
      <c r="D49" t="s">
        <v>152</v>
      </c>
      <c r="E49" t="s">
        <v>148</v>
      </c>
      <c r="F49" t="s">
        <v>148</v>
      </c>
      <c r="G49" s="1" t="s">
        <v>186</v>
      </c>
      <c r="H49" s="1" t="s">
        <v>242</v>
      </c>
      <c r="I49" s="1" t="e">
        <f>_xlfn.XLOOKUP(H49,'rank lookup'!$A$1:$A$21,'rank lookup'!$B$1:$B$21,,0)</f>
        <v>#N/A</v>
      </c>
      <c r="K49" s="23">
        <v>193</v>
      </c>
      <c r="L49" s="23">
        <v>156</v>
      </c>
      <c r="M49" s="5">
        <f>L49/(K49*K49)*10000</f>
        <v>41.880318934736501</v>
      </c>
      <c r="N49" s="4">
        <f>CONVERT(K49,"cm","in")</f>
        <v>75.984251968503941</v>
      </c>
      <c r="O49">
        <f>_xlfn.FLOOR.MATH(N49/12)</f>
        <v>6</v>
      </c>
      <c r="P49">
        <f>ROUND(N49-O49*12,1)</f>
        <v>4</v>
      </c>
      <c r="Q49" t="str">
        <f>O49&amp;"' "&amp;P49&amp;""""</f>
        <v>6' 4"</v>
      </c>
      <c r="R49">
        <f>ROUND(CONVERT(L49,"kg","lbm"),0)</f>
        <v>344</v>
      </c>
      <c r="V49">
        <f>_xlfn.XLOOKUP(A49,'January 2023 Data'!$A$4:$A$49,'January 2023 Data'!$H$4:$H$49,,0)</f>
        <v>193</v>
      </c>
      <c r="W49">
        <f t="shared" si="1"/>
        <v>0</v>
      </c>
      <c r="Y49" t="str">
        <f t="shared" si="2"/>
        <v xml:space="preserve">Kagayaki, </v>
      </c>
    </row>
    <row r="50" spans="1:25" x14ac:dyDescent="0.35">
      <c r="A50" s="1" t="s">
        <v>166</v>
      </c>
      <c r="D50" t="s">
        <v>151</v>
      </c>
      <c r="E50" s="1" t="s">
        <v>151</v>
      </c>
      <c r="F50" s="1" t="s">
        <v>147</v>
      </c>
      <c r="G50" s="1" t="s">
        <v>192</v>
      </c>
      <c r="H50" s="1" t="s">
        <v>246</v>
      </c>
      <c r="I50" s="1" t="e">
        <f>_xlfn.XLOOKUP(H50,'rank lookup'!$A$1:$A$21,'rank lookup'!$B$1:$B$21,,0)</f>
        <v>#N/A</v>
      </c>
      <c r="J50" s="1"/>
      <c r="K50" s="23">
        <v>192</v>
      </c>
      <c r="L50" s="23">
        <v>159</v>
      </c>
      <c r="M50" s="5">
        <f>L50/(K50*K50)*10000</f>
        <v>43.131510416666671</v>
      </c>
      <c r="N50" s="4">
        <f>CONVERT(K50,"cm","in")</f>
        <v>75.59055118110237</v>
      </c>
      <c r="O50">
        <f>_xlfn.FLOOR.MATH(N50/12)</f>
        <v>6</v>
      </c>
      <c r="P50">
        <f>ROUND(N50-O50*12,1)</f>
        <v>3.6</v>
      </c>
      <c r="Q50" t="str">
        <f>O50&amp;"' "&amp;P50&amp;""""</f>
        <v>6' 3.6"</v>
      </c>
      <c r="R50">
        <f>ROUND(CONVERT(L50,"kg","lbm"),0)</f>
        <v>351</v>
      </c>
      <c r="V50">
        <f>_xlfn.XLOOKUP(A50,'January 2023 Data'!$A$4:$A$49,'January 2023 Data'!$H$4:$H$49,,0)</f>
        <v>191</v>
      </c>
      <c r="W50">
        <f t="shared" si="1"/>
        <v>1</v>
      </c>
      <c r="Y50" t="str">
        <f t="shared" si="2"/>
        <v xml:space="preserve">Azumaryu, </v>
      </c>
    </row>
    <row r="51" spans="1:25" x14ac:dyDescent="0.35">
      <c r="A51" s="1" t="s">
        <v>87</v>
      </c>
      <c r="B51" s="1">
        <v>1</v>
      </c>
      <c r="C51" s="1" t="s">
        <v>142</v>
      </c>
      <c r="D51" s="1" t="s">
        <v>142</v>
      </c>
      <c r="E51" s="1" t="s">
        <v>147</v>
      </c>
      <c r="F51" s="1" t="s">
        <v>192</v>
      </c>
      <c r="G51" s="1" t="s">
        <v>232</v>
      </c>
      <c r="H51" s="1" t="s">
        <v>179</v>
      </c>
      <c r="I51" s="1" t="e">
        <f>_xlfn.XLOOKUP(H51,'rank lookup'!$A$1:$A$21,'rank lookup'!$B$1:$B$21,,0)</f>
        <v>#N/A</v>
      </c>
      <c r="J51" s="1"/>
      <c r="K51" s="23">
        <v>192</v>
      </c>
      <c r="L51" s="23">
        <v>189</v>
      </c>
      <c r="M51" s="5">
        <f>L51/(K51*K51)*10000</f>
        <v>51.26953125</v>
      </c>
      <c r="N51" s="4">
        <f>CONVERT(K51,"cm","in")</f>
        <v>75.59055118110237</v>
      </c>
      <c r="O51">
        <f>_xlfn.FLOOR.MATH(N51/12)</f>
        <v>6</v>
      </c>
      <c r="P51">
        <f>ROUND(N51-O51*12,1)</f>
        <v>3.6</v>
      </c>
      <c r="Q51" t="str">
        <f>O51&amp;"' "&amp;P51&amp;""""</f>
        <v>6' 3.6"</v>
      </c>
      <c r="R51">
        <f>ROUND(CONVERT(L51,"kg","lbm"),0)</f>
        <v>417</v>
      </c>
      <c r="V51">
        <f>_xlfn.XLOOKUP(A51,'January 2023 Data'!$A$4:$A$49,'January 2023 Data'!$H$4:$H$49,,0)</f>
        <v>192</v>
      </c>
      <c r="W51">
        <f t="shared" si="1"/>
        <v>0</v>
      </c>
      <c r="Y51" t="str">
        <f t="shared" si="2"/>
        <v xml:space="preserve">Tochinoshin, </v>
      </c>
    </row>
    <row r="52" spans="1:25" x14ac:dyDescent="0.35">
      <c r="A52" s="1" t="s">
        <v>90</v>
      </c>
      <c r="B52" s="1"/>
      <c r="C52" s="1" t="s">
        <v>148</v>
      </c>
      <c r="D52" s="1" t="s">
        <v>150</v>
      </c>
      <c r="E52" s="1" t="s">
        <v>148</v>
      </c>
      <c r="F52" s="1" t="s">
        <v>179</v>
      </c>
      <c r="G52" s="1"/>
      <c r="H52" s="1"/>
      <c r="I52" s="1" t="e">
        <f>_xlfn.XLOOKUP(H52,'rank lookup'!$A$1:$A$21,'rank lookup'!$B$1:$B$21,,0)</f>
        <v>#N/A</v>
      </c>
      <c r="J52" s="1"/>
      <c r="K52" s="23">
        <v>189</v>
      </c>
      <c r="L52" s="23">
        <v>161</v>
      </c>
      <c r="M52" s="5">
        <f>L52/(K52*K52)*10000</f>
        <v>45.071526553008034</v>
      </c>
      <c r="N52" s="4">
        <f>CONVERT(K52,"cm","in")</f>
        <v>74.409448818897644</v>
      </c>
      <c r="O52">
        <f>_xlfn.FLOOR.MATH(N52/12)</f>
        <v>6</v>
      </c>
      <c r="P52">
        <f>ROUND(N52-O52*12,1)</f>
        <v>2.4</v>
      </c>
      <c r="Q52" t="str">
        <f>O52&amp;"' "&amp;P52&amp;""""</f>
        <v>6' 2.4"</v>
      </c>
      <c r="R52">
        <f>ROUND(CONVERT(L52,"kg","lbm"),0)</f>
        <v>355</v>
      </c>
      <c r="V52">
        <f>_xlfn.XLOOKUP(A52,'January 2023 Data'!$A$4:$A$49,'January 2023 Data'!$H$4:$H$49,,0)</f>
        <v>189</v>
      </c>
      <c r="W52">
        <f t="shared" si="1"/>
        <v>0</v>
      </c>
      <c r="Y52" t="str">
        <f t="shared" si="2"/>
        <v xml:space="preserve">Okinoumi, </v>
      </c>
    </row>
    <row r="53" spans="1:25" x14ac:dyDescent="0.35">
      <c r="A53" t="s">
        <v>119</v>
      </c>
      <c r="E53" s="1" t="s">
        <v>154</v>
      </c>
      <c r="F53" s="1" t="s">
        <v>169</v>
      </c>
      <c r="G53" s="1" t="s">
        <v>180</v>
      </c>
      <c r="H53" s="1" t="s">
        <v>247</v>
      </c>
      <c r="I53" s="1" t="e">
        <f>_xlfn.XLOOKUP(H53,'rank lookup'!$A$1:$A$21,'rank lookup'!$B$1:$B$21,,0)</f>
        <v>#N/A</v>
      </c>
      <c r="J53" s="1"/>
      <c r="K53" s="23">
        <v>178</v>
      </c>
      <c r="L53" s="23">
        <v>166</v>
      </c>
      <c r="M53" s="5">
        <f>L53/(K53*K53)*10000</f>
        <v>52.392374700164119</v>
      </c>
      <c r="N53" s="4">
        <f>CONVERT(K53,"cm","in")</f>
        <v>70.078740157480311</v>
      </c>
      <c r="O53">
        <f>_xlfn.FLOOR.MATH(N53/12)</f>
        <v>5</v>
      </c>
      <c r="P53">
        <f>ROUND(N53-O53*12,1)</f>
        <v>10.1</v>
      </c>
      <c r="Q53" t="str">
        <f>O53&amp;"' "&amp;P53&amp;""""</f>
        <v>5' 10.1"</v>
      </c>
      <c r="R53">
        <f>ROUND(CONVERT(L53,"kg","lbm"),0)</f>
        <v>366</v>
      </c>
      <c r="V53">
        <f>_xlfn.XLOOKUP(A53,'January 2023 Data'!$A$4:$A$49,'January 2023 Data'!$H$4:$H$49,,0)</f>
        <v>177</v>
      </c>
      <c r="W53">
        <f t="shared" si="1"/>
        <v>1</v>
      </c>
      <c r="Y53" t="str">
        <f t="shared" si="2"/>
        <v xml:space="preserve">Chiyomaru, </v>
      </c>
    </row>
    <row r="54" spans="1:25" x14ac:dyDescent="0.35">
      <c r="A54" s="1" t="s">
        <v>113</v>
      </c>
      <c r="B54" s="1"/>
      <c r="C54" s="1" t="s">
        <v>147</v>
      </c>
      <c r="D54" s="1" t="s">
        <v>148</v>
      </c>
      <c r="E54" s="1" t="s">
        <v>179</v>
      </c>
      <c r="F54" s="1"/>
      <c r="G54" s="1"/>
      <c r="H54" s="1"/>
      <c r="I54" s="1" t="e">
        <f>_xlfn.XLOOKUP(H54,'rank lookup'!$A$1:$A$21,'rank lookup'!$B$1:$B$21,,0)</f>
        <v>#N/A</v>
      </c>
      <c r="J54" s="1"/>
      <c r="K54" s="23">
        <v>181</v>
      </c>
      <c r="L54" s="23">
        <v>189</v>
      </c>
      <c r="M54" s="5">
        <f>L54/(K54*K54)*10000</f>
        <v>57.690546686609082</v>
      </c>
      <c r="N54" s="4">
        <f>CONVERT(K54,"cm","in")</f>
        <v>71.259842519685037</v>
      </c>
      <c r="O54">
        <f>_xlfn.FLOOR.MATH(N54/12)</f>
        <v>5</v>
      </c>
      <c r="P54">
        <f>ROUND(N54-O54*12,1)</f>
        <v>11.3</v>
      </c>
      <c r="Q54" t="str">
        <f>O54&amp;"' "&amp;P54&amp;""""</f>
        <v>5' 11.3"</v>
      </c>
      <c r="R54">
        <f>ROUND(CONVERT(L54,"kg","lbm"),0)</f>
        <v>417</v>
      </c>
      <c r="Y54" t="str">
        <f t="shared" si="2"/>
        <v xml:space="preserve">Chiyotairyu, </v>
      </c>
    </row>
    <row r="55" spans="1:25" x14ac:dyDescent="0.35">
      <c r="A55" s="1" t="s">
        <v>168</v>
      </c>
      <c r="D55" t="s">
        <v>152</v>
      </c>
      <c r="E55" s="1" t="s">
        <v>170</v>
      </c>
      <c r="F55" s="1" t="s">
        <v>187</v>
      </c>
      <c r="G55" s="1" t="s">
        <v>187</v>
      </c>
      <c r="H55" s="1" t="s">
        <v>242</v>
      </c>
      <c r="I55" s="1" t="e">
        <f>_xlfn.XLOOKUP(H55,'rank lookup'!$A$1:$A$21,'rank lookup'!$B$1:$B$21,,0)</f>
        <v>#N/A</v>
      </c>
      <c r="K55" s="23">
        <v>185</v>
      </c>
      <c r="L55" s="23">
        <v>174</v>
      </c>
      <c r="M55" s="5">
        <f>L55/(K55*K55)*10000</f>
        <v>50.840029218407601</v>
      </c>
      <c r="N55" s="4">
        <f>CONVERT(K55,"cm","in")</f>
        <v>72.834645669291348</v>
      </c>
      <c r="O55">
        <f>_xlfn.FLOOR.MATH(N55/12)</f>
        <v>6</v>
      </c>
      <c r="P55">
        <f>ROUND(N55-O55*12,1)</f>
        <v>0.8</v>
      </c>
      <c r="Q55" t="str">
        <f>O55&amp;"' "&amp;P55&amp;""""</f>
        <v>6' 0.8"</v>
      </c>
      <c r="R55">
        <f>ROUND(CONVERT(L55,"kg","lbm"),0)</f>
        <v>384</v>
      </c>
      <c r="Y55" t="str">
        <f t="shared" si="2"/>
        <v xml:space="preserve">Atamifuji, </v>
      </c>
    </row>
    <row r="56" spans="1:25" x14ac:dyDescent="0.35">
      <c r="A56" s="1" t="s">
        <v>126</v>
      </c>
      <c r="B56" s="1"/>
      <c r="C56" s="1" t="s">
        <v>152</v>
      </c>
      <c r="D56" s="1" t="s">
        <v>154</v>
      </c>
      <c r="E56" s="1" t="s">
        <v>180</v>
      </c>
      <c r="F56" s="1" t="s">
        <v>194</v>
      </c>
      <c r="G56" s="1" t="s">
        <v>233</v>
      </c>
      <c r="H56" s="1"/>
      <c r="I56" s="1" t="e">
        <f>_xlfn.XLOOKUP(H56,'rank lookup'!$A$1:$A$21,'rank lookup'!$B$1:$B$21,,0)</f>
        <v>#N/A</v>
      </c>
      <c r="J56" s="1"/>
      <c r="K56" s="23">
        <v>169</v>
      </c>
      <c r="L56" s="23">
        <v>107</v>
      </c>
      <c r="M56" s="5">
        <f>L56/(K56*K56)*10000</f>
        <v>37.463674241098005</v>
      </c>
      <c r="N56" s="4">
        <f>CONVERT(K56,"cm","in")</f>
        <v>66.535433070866134</v>
      </c>
      <c r="O56">
        <f>_xlfn.FLOOR.MATH(N56/12)</f>
        <v>5</v>
      </c>
      <c r="P56">
        <f>ROUND(N56-O56*12,1)</f>
        <v>6.5</v>
      </c>
      <c r="Q56" t="str">
        <f>O56&amp;"' "&amp;P56&amp;""""</f>
        <v>5' 6.5"</v>
      </c>
      <c r="R56">
        <f>ROUND(CONVERT(L56,"kg","lbm"),0)</f>
        <v>236</v>
      </c>
      <c r="Y56" t="str">
        <f t="shared" si="2"/>
        <v xml:space="preserve">Terutsuyoshi, </v>
      </c>
    </row>
    <row r="57" spans="1:25" x14ac:dyDescent="0.35">
      <c r="A57" s="1" t="s">
        <v>107</v>
      </c>
      <c r="B57" s="1"/>
      <c r="C57" s="1" t="s">
        <v>151</v>
      </c>
      <c r="D57" s="1" t="s">
        <v>169</v>
      </c>
      <c r="E57" s="1" t="s">
        <v>179</v>
      </c>
      <c r="F57" s="1"/>
      <c r="G57" s="1"/>
      <c r="H57" s="1"/>
      <c r="I57" s="1" t="e">
        <f>_xlfn.XLOOKUP(H57,'rank lookup'!$A$1:$A$21,'rank lookup'!$B$1:$B$21,,0)</f>
        <v>#N/A</v>
      </c>
      <c r="J57" s="1"/>
      <c r="K57" s="23">
        <v>185</v>
      </c>
      <c r="L57" s="23">
        <v>181</v>
      </c>
      <c r="M57" s="5">
        <f>L57/(K57*K57)*10000</f>
        <v>52.885317750182615</v>
      </c>
      <c r="N57" s="4">
        <f>CONVERT(K57,"cm","in")</f>
        <v>72.834645669291348</v>
      </c>
      <c r="O57">
        <f>_xlfn.FLOOR.MATH(N57/12)</f>
        <v>6</v>
      </c>
      <c r="P57">
        <f>ROUND(N57-O57*12,1)</f>
        <v>0.8</v>
      </c>
      <c r="Q57" t="str">
        <f>O57&amp;"' "&amp;P57&amp;""""</f>
        <v>6' 0.8"</v>
      </c>
      <c r="R57">
        <f>ROUND(CONVERT(L57,"kg","lbm"),0)</f>
        <v>399</v>
      </c>
      <c r="Y57" t="str">
        <f t="shared" si="2"/>
        <v xml:space="preserve">Yutakayama, </v>
      </c>
    </row>
  </sheetData>
  <autoFilter ref="A3:R55" xr:uid="{7067DD38-AD06-4250-9520-A2F29B57D9C0}">
    <sortState xmlns:xlrd2="http://schemas.microsoft.com/office/spreadsheetml/2017/richdata2" ref="A4:R57">
      <sortCondition ref="I3:I55"/>
    </sortState>
  </autoFilter>
  <hyperlinks>
    <hyperlink ref="C2" r:id="rId1" xr:uid="{45EC4F3C-0ED0-4FD5-A1B4-9C029D3A894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81A-04EB-414D-95D4-C2F7EC9BB789}">
  <dimension ref="A1:AA53"/>
  <sheetViews>
    <sheetView tabSelected="1" zoomScale="106" zoomScaleNormal="106" workbookViewId="0">
      <pane xSplit="1" ySplit="3" topLeftCell="F30" activePane="bottomRight" state="frozen"/>
      <selection pane="topRight" activeCell="B1" sqref="B1"/>
      <selection pane="bottomLeft" activeCell="A4" sqref="A4"/>
      <selection pane="bottomRight" activeCell="J38" sqref="J38"/>
    </sheetView>
  </sheetViews>
  <sheetFormatPr defaultRowHeight="14.5" x14ac:dyDescent="0.35"/>
  <cols>
    <col min="1" max="8" width="21.1796875" customWidth="1"/>
    <col min="11" max="11" width="11.26953125" bestFit="1" customWidth="1"/>
    <col min="12" max="12" width="8.7265625" style="4"/>
    <col min="19" max="19" width="9.54296875" customWidth="1"/>
    <col min="23" max="23" width="17.81640625" customWidth="1"/>
  </cols>
  <sheetData>
    <row r="1" spans="1:27" x14ac:dyDescent="0.35">
      <c r="C1" t="s">
        <v>174</v>
      </c>
      <c r="I1" t="s">
        <v>197</v>
      </c>
    </row>
    <row r="2" spans="1:27" x14ac:dyDescent="0.35">
      <c r="C2" s="17" t="s">
        <v>162</v>
      </c>
      <c r="D2" s="17"/>
      <c r="E2" s="17"/>
      <c r="F2" s="17"/>
      <c r="Q2">
        <f>MAX(Q4:Q45)</f>
        <v>41</v>
      </c>
      <c r="R2">
        <f>MAX(R4:R45)</f>
        <v>42</v>
      </c>
      <c r="S2">
        <f>MAX(S4:S45)</f>
        <v>42</v>
      </c>
    </row>
    <row r="3" spans="1:27" x14ac:dyDescent="0.35">
      <c r="A3" t="s">
        <v>3</v>
      </c>
      <c r="B3" t="s">
        <v>11</v>
      </c>
      <c r="C3" t="s">
        <v>131</v>
      </c>
      <c r="D3" t="s">
        <v>163</v>
      </c>
      <c r="E3" t="s">
        <v>175</v>
      </c>
      <c r="F3" t="s">
        <v>185</v>
      </c>
      <c r="G3" t="s">
        <v>177</v>
      </c>
      <c r="H3" t="s">
        <v>164</v>
      </c>
      <c r="I3" t="s">
        <v>5</v>
      </c>
      <c r="J3" t="s">
        <v>4</v>
      </c>
      <c r="K3" t="s">
        <v>26</v>
      </c>
      <c r="L3" s="4" t="s">
        <v>6</v>
      </c>
      <c r="M3" t="s">
        <v>7</v>
      </c>
      <c r="N3" t="s">
        <v>8</v>
      </c>
      <c r="O3" t="s">
        <v>9</v>
      </c>
      <c r="P3" t="s">
        <v>10</v>
      </c>
      <c r="Q3" t="s">
        <v>171</v>
      </c>
      <c r="R3" t="s">
        <v>172</v>
      </c>
      <c r="S3" t="s">
        <v>173</v>
      </c>
      <c r="T3" t="s">
        <v>216</v>
      </c>
      <c r="U3" s="14" t="s">
        <v>182</v>
      </c>
      <c r="V3" t="s">
        <v>217</v>
      </c>
      <c r="W3" t="s">
        <v>219</v>
      </c>
      <c r="Y3">
        <f>SUM(Y4:Y10)</f>
        <v>38</v>
      </c>
      <c r="Z3">
        <f>Y3-Y5</f>
        <v>21</v>
      </c>
      <c r="AA3">
        <f>Z3/Y3</f>
        <v>0.55263157894736847</v>
      </c>
    </row>
    <row r="4" spans="1:27" x14ac:dyDescent="0.35">
      <c r="A4" s="1" t="s">
        <v>86</v>
      </c>
      <c r="B4" s="1">
        <v>7</v>
      </c>
      <c r="C4" s="1" t="s">
        <v>14</v>
      </c>
      <c r="D4" s="1" t="s">
        <v>14</v>
      </c>
      <c r="E4" s="1" t="s">
        <v>14</v>
      </c>
      <c r="F4" s="1" t="s">
        <v>14</v>
      </c>
      <c r="G4" s="1">
        <f>_xlfn.XLOOKUP(F4,'rank lookup'!$A$1:$A$21,'rank lookup'!$B$1:$B$21,,0)</f>
        <v>1</v>
      </c>
      <c r="H4" s="1"/>
      <c r="I4" s="19">
        <v>192</v>
      </c>
      <c r="J4" s="19">
        <v>180</v>
      </c>
      <c r="K4" s="5">
        <f t="shared" ref="K4:K35" si="0">J4/(I4*I4)*10000</f>
        <v>48.828125</v>
      </c>
      <c r="L4" s="4">
        <f t="shared" ref="L4:L35" si="1">CONVERT(I4,"cm","in")</f>
        <v>75.59055118110237</v>
      </c>
      <c r="M4">
        <f t="shared" ref="M4:M35" si="2">_xlfn.FLOOR.MATH(L4/12)</f>
        <v>6</v>
      </c>
      <c r="N4">
        <f t="shared" ref="N4:N35" si="3">ROUND(L4-M4*12,1)</f>
        <v>3.6</v>
      </c>
      <c r="O4" t="str">
        <f t="shared" ref="O4:O35" si="4">M4&amp;"' "&amp;N4&amp;""""</f>
        <v>6' 3.6"</v>
      </c>
      <c r="P4">
        <f t="shared" ref="P4:P35" si="5">ROUND(CONVERT(J4,"kg","lbm"),0)</f>
        <v>397</v>
      </c>
      <c r="Q4">
        <f>_xlfn.RANK.EQ(I4,I$4:I$45)</f>
        <v>3</v>
      </c>
      <c r="R4">
        <f>_xlfn.RANK.EQ(J4,J$4:J$45)</f>
        <v>5</v>
      </c>
      <c r="S4">
        <f>_xlfn.RANK.EQ(K4,K$4:K$45)</f>
        <v>15</v>
      </c>
      <c r="T4">
        <f>_xlfn.XLOOKUP(A4,'January 2023 Data'!$A$4:$A$49,'January 2023 Data'!$H$4:$H$49,,0)</f>
        <v>192</v>
      </c>
      <c r="U4">
        <f>I4-T4</f>
        <v>0</v>
      </c>
      <c r="V4" t="s">
        <v>218</v>
      </c>
      <c r="W4" t="str">
        <f>A4&amp;", "&amp;V4</f>
        <v>Terunofuji, OUT</v>
      </c>
      <c r="X4" cm="1">
        <f t="array" ref="X4:X10">_xlfn.SEQUENCE(7,1,-1)</f>
        <v>-1</v>
      </c>
      <c r="Y4">
        <f>COUNTIF(U$4:U$45,X4)</f>
        <v>7</v>
      </c>
    </row>
    <row r="5" spans="1:27" x14ac:dyDescent="0.35">
      <c r="A5" s="1" t="s">
        <v>123</v>
      </c>
      <c r="B5" s="1">
        <v>2</v>
      </c>
      <c r="C5" s="1" t="s">
        <v>39</v>
      </c>
      <c r="D5" s="1" t="s">
        <v>39</v>
      </c>
      <c r="E5" s="1" t="s">
        <v>39</v>
      </c>
      <c r="F5" s="1" t="s">
        <v>39</v>
      </c>
      <c r="G5" s="1">
        <f>_xlfn.XLOOKUP(F5,'rank lookup'!$A$1:$A$21,'rank lookup'!$B$1:$B$21,,0)</f>
        <v>2</v>
      </c>
      <c r="H5" s="1"/>
      <c r="I5" s="19">
        <v>175</v>
      </c>
      <c r="J5" s="19">
        <v>165</v>
      </c>
      <c r="K5" s="5">
        <f t="shared" si="0"/>
        <v>53.877551020408163</v>
      </c>
      <c r="L5" s="4">
        <f t="shared" si="1"/>
        <v>68.897637795275585</v>
      </c>
      <c r="M5">
        <f t="shared" si="2"/>
        <v>5</v>
      </c>
      <c r="N5">
        <f t="shared" si="3"/>
        <v>8.9</v>
      </c>
      <c r="O5" t="str">
        <f t="shared" si="4"/>
        <v>5' 8.9"</v>
      </c>
      <c r="P5">
        <f t="shared" si="5"/>
        <v>364</v>
      </c>
      <c r="Q5">
        <f t="shared" ref="Q5:S45" si="6">_xlfn.RANK.EQ(I5,I$4:I$45)</f>
        <v>38</v>
      </c>
      <c r="R5">
        <f t="shared" si="6"/>
        <v>16</v>
      </c>
      <c r="S5">
        <f t="shared" si="6"/>
        <v>5</v>
      </c>
      <c r="T5">
        <f>_xlfn.XLOOKUP(A5,'January 2023 Data'!$A$4:$A$49,'January 2023 Data'!$H$4:$H$49,,0)</f>
        <v>175</v>
      </c>
      <c r="U5">
        <f t="shared" ref="U5:U53" si="7">I5-T5</f>
        <v>0</v>
      </c>
      <c r="V5" t="s">
        <v>218</v>
      </c>
      <c r="W5" t="str">
        <f t="shared" ref="W5:W53" si="8">A5&amp;", "&amp;V5</f>
        <v>Takakeisho, OUT</v>
      </c>
      <c r="X5">
        <v>0</v>
      </c>
      <c r="Y5">
        <f t="shared" ref="Y5:Y10" si="9">COUNTIF(U$4:U$45,X5)</f>
        <v>17</v>
      </c>
    </row>
    <row r="6" spans="1:27" ht="25" x14ac:dyDescent="0.35">
      <c r="A6" s="1" t="s">
        <v>114</v>
      </c>
      <c r="B6" s="1"/>
      <c r="C6" s="1" t="s">
        <v>31</v>
      </c>
      <c r="D6" s="1" t="s">
        <v>31</v>
      </c>
      <c r="E6" s="1" t="s">
        <v>31</v>
      </c>
      <c r="F6" s="1" t="s">
        <v>31</v>
      </c>
      <c r="G6" s="1">
        <f>_xlfn.XLOOKUP(F6,'rank lookup'!$A$1:$A$21,'rank lookup'!$B$1:$B$21,,0)</f>
        <v>3</v>
      </c>
      <c r="H6" s="1" t="s">
        <v>196</v>
      </c>
      <c r="I6" s="19">
        <v>182</v>
      </c>
      <c r="J6" s="19">
        <v>132</v>
      </c>
      <c r="K6" s="5">
        <f t="shared" si="0"/>
        <v>39.850259630479414</v>
      </c>
      <c r="L6" s="4">
        <f t="shared" si="1"/>
        <v>71.653543307086608</v>
      </c>
      <c r="M6">
        <f t="shared" si="2"/>
        <v>5</v>
      </c>
      <c r="N6">
        <f t="shared" si="3"/>
        <v>11.7</v>
      </c>
      <c r="O6" t="str">
        <f t="shared" si="4"/>
        <v>5' 11.7"</v>
      </c>
      <c r="P6">
        <f t="shared" si="5"/>
        <v>291</v>
      </c>
      <c r="Q6">
        <f t="shared" si="6"/>
        <v>30</v>
      </c>
      <c r="R6">
        <f t="shared" si="6"/>
        <v>40</v>
      </c>
      <c r="S6">
        <f t="shared" si="6"/>
        <v>42</v>
      </c>
      <c r="T6">
        <f>_xlfn.XLOOKUP(A6,'January 2023 Data'!$A$4:$A$49,'January 2023 Data'!$H$4:$H$49,,0)</f>
        <v>183</v>
      </c>
      <c r="U6">
        <f t="shared" si="7"/>
        <v>-1</v>
      </c>
      <c r="V6" s="21" t="s">
        <v>220</v>
      </c>
      <c r="W6" t="str">
        <f t="shared" si="8"/>
        <v>Wakatakakage, 7-6</v>
      </c>
      <c r="X6">
        <v>1</v>
      </c>
      <c r="Y6">
        <f t="shared" si="9"/>
        <v>11</v>
      </c>
    </row>
    <row r="7" spans="1:27" ht="25" x14ac:dyDescent="0.35">
      <c r="A7" s="1" t="s">
        <v>95</v>
      </c>
      <c r="B7" s="1"/>
      <c r="C7" s="1" t="s">
        <v>31</v>
      </c>
      <c r="D7" s="1" t="s">
        <v>31</v>
      </c>
      <c r="E7" s="1" t="s">
        <v>31</v>
      </c>
      <c r="F7" s="1" t="s">
        <v>31</v>
      </c>
      <c r="G7" s="1">
        <f>_xlfn.XLOOKUP(F7,'rank lookup'!$A$1:$A$21,'rank lookup'!$B$1:$B$21,,0)</f>
        <v>3</v>
      </c>
      <c r="H7" s="1" t="s">
        <v>195</v>
      </c>
      <c r="I7" s="19">
        <v>188</v>
      </c>
      <c r="J7" s="19">
        <v>141</v>
      </c>
      <c r="K7" s="5">
        <f t="shared" si="0"/>
        <v>39.89361702127659</v>
      </c>
      <c r="L7" s="4">
        <f t="shared" si="1"/>
        <v>74.015748031496059</v>
      </c>
      <c r="M7">
        <f t="shared" si="2"/>
        <v>6</v>
      </c>
      <c r="N7">
        <f t="shared" si="3"/>
        <v>2</v>
      </c>
      <c r="O7" t="str">
        <f t="shared" si="4"/>
        <v>6' 2"</v>
      </c>
      <c r="P7">
        <f t="shared" si="5"/>
        <v>311</v>
      </c>
      <c r="Q7">
        <f t="shared" si="6"/>
        <v>12</v>
      </c>
      <c r="R7">
        <f t="shared" si="6"/>
        <v>35</v>
      </c>
      <c r="S7">
        <f t="shared" si="6"/>
        <v>41</v>
      </c>
      <c r="T7">
        <f>_xlfn.XLOOKUP(A7,'January 2023 Data'!$A$4:$A$49,'January 2023 Data'!$H$4:$H$49,,0)</f>
        <v>185</v>
      </c>
      <c r="U7">
        <f t="shared" si="7"/>
        <v>3</v>
      </c>
      <c r="V7" s="22" t="s">
        <v>221</v>
      </c>
      <c r="W7" t="str">
        <f t="shared" si="8"/>
        <v>Hoshoryu, 9-4</v>
      </c>
      <c r="X7">
        <v>2</v>
      </c>
      <c r="Y7">
        <f t="shared" si="9"/>
        <v>2</v>
      </c>
    </row>
    <row r="8" spans="1:27" x14ac:dyDescent="0.35">
      <c r="A8" s="1" t="s">
        <v>102</v>
      </c>
      <c r="B8" s="1"/>
      <c r="C8" s="1" t="s">
        <v>42</v>
      </c>
      <c r="D8" s="1" t="s">
        <v>42</v>
      </c>
      <c r="E8" s="1" t="s">
        <v>42</v>
      </c>
      <c r="F8" s="1" t="s">
        <v>31</v>
      </c>
      <c r="G8" s="1">
        <f>_xlfn.XLOOKUP(F8,'rank lookup'!$A$1:$A$21,'rank lookup'!$B$1:$B$21,,0)</f>
        <v>3</v>
      </c>
      <c r="H8" s="1"/>
      <c r="I8" s="19">
        <v>186</v>
      </c>
      <c r="J8" s="19">
        <v>140</v>
      </c>
      <c r="K8" s="5">
        <f t="shared" si="0"/>
        <v>40.467106023817784</v>
      </c>
      <c r="L8" s="4">
        <f t="shared" si="1"/>
        <v>73.228346456692918</v>
      </c>
      <c r="M8">
        <f t="shared" si="2"/>
        <v>6</v>
      </c>
      <c r="N8">
        <f t="shared" si="3"/>
        <v>1.2</v>
      </c>
      <c r="O8" t="str">
        <f t="shared" si="4"/>
        <v>6' 1.2"</v>
      </c>
      <c r="P8">
        <f t="shared" si="5"/>
        <v>309</v>
      </c>
      <c r="Q8">
        <f t="shared" si="6"/>
        <v>18</v>
      </c>
      <c r="R8">
        <f t="shared" si="6"/>
        <v>36</v>
      </c>
      <c r="S8">
        <f t="shared" si="6"/>
        <v>38</v>
      </c>
      <c r="T8">
        <f>_xlfn.XLOOKUP(A8,'January 2023 Data'!$A$4:$A$49,'January 2023 Data'!$H$4:$H$49,,0)</f>
        <v>185</v>
      </c>
      <c r="U8">
        <f t="shared" si="7"/>
        <v>1</v>
      </c>
      <c r="V8" s="22" t="s">
        <v>222</v>
      </c>
      <c r="W8" t="str">
        <f t="shared" si="8"/>
        <v>Kiribayama, 10-3</v>
      </c>
      <c r="X8">
        <v>3</v>
      </c>
      <c r="Y8">
        <f t="shared" si="9"/>
        <v>1</v>
      </c>
    </row>
    <row r="9" spans="1:27" x14ac:dyDescent="0.35">
      <c r="A9" s="1" t="s">
        <v>94</v>
      </c>
      <c r="B9" s="1"/>
      <c r="C9" s="1" t="s">
        <v>136</v>
      </c>
      <c r="D9" s="1" t="s">
        <v>132</v>
      </c>
      <c r="E9" s="1" t="s">
        <v>42</v>
      </c>
      <c r="F9" s="1" t="s">
        <v>42</v>
      </c>
      <c r="G9" s="1">
        <f>_xlfn.XLOOKUP(F9,'rank lookup'!$A$1:$A$21,'rank lookup'!$B$1:$B$21,,0)</f>
        <v>4</v>
      </c>
      <c r="H9" s="1"/>
      <c r="I9" s="19">
        <v>189</v>
      </c>
      <c r="J9" s="19">
        <v>172</v>
      </c>
      <c r="K9" s="5">
        <f t="shared" si="0"/>
        <v>48.150947621847095</v>
      </c>
      <c r="L9" s="4">
        <f t="shared" si="1"/>
        <v>74.409448818897644</v>
      </c>
      <c r="M9">
        <f t="shared" si="2"/>
        <v>6</v>
      </c>
      <c r="N9">
        <f t="shared" si="3"/>
        <v>2.4</v>
      </c>
      <c r="O9" t="str">
        <f t="shared" si="4"/>
        <v>6' 2.4"</v>
      </c>
      <c r="P9">
        <f t="shared" si="5"/>
        <v>379</v>
      </c>
      <c r="Q9">
        <f t="shared" si="6"/>
        <v>9</v>
      </c>
      <c r="R9">
        <f t="shared" si="6"/>
        <v>12</v>
      </c>
      <c r="S9">
        <f t="shared" si="6"/>
        <v>17</v>
      </c>
      <c r="T9">
        <f>_xlfn.XLOOKUP(A9,'January 2023 Data'!$A$4:$A$49,'January 2023 Data'!$H$4:$H$49,,0)</f>
        <v>189</v>
      </c>
      <c r="U9">
        <f t="shared" si="7"/>
        <v>0</v>
      </c>
      <c r="V9" s="22" t="s">
        <v>221</v>
      </c>
      <c r="W9" t="str">
        <f t="shared" si="8"/>
        <v>Kotonowaka, 9-4</v>
      </c>
      <c r="X9">
        <v>4</v>
      </c>
      <c r="Y9">
        <f t="shared" si="9"/>
        <v>0</v>
      </c>
    </row>
    <row r="10" spans="1:27" ht="25" x14ac:dyDescent="0.35">
      <c r="A10" s="1" t="s">
        <v>100</v>
      </c>
      <c r="B10" s="1"/>
      <c r="C10" s="1" t="s">
        <v>141</v>
      </c>
      <c r="D10" s="1" t="s">
        <v>139</v>
      </c>
      <c r="E10" s="1" t="s">
        <v>42</v>
      </c>
      <c r="F10" s="1" t="s">
        <v>42</v>
      </c>
      <c r="G10" s="1">
        <f>_xlfn.XLOOKUP(F10,'rank lookup'!$A$1:$A$21,'rank lookup'!$B$1:$B$21,,0)</f>
        <v>4</v>
      </c>
      <c r="H10" s="1" t="s">
        <v>198</v>
      </c>
      <c r="I10" s="19">
        <v>187</v>
      </c>
      <c r="J10" s="19">
        <v>143</v>
      </c>
      <c r="K10" s="5">
        <f t="shared" si="0"/>
        <v>40.893362692670649</v>
      </c>
      <c r="L10" s="4">
        <f t="shared" si="1"/>
        <v>73.622047244094489</v>
      </c>
      <c r="M10">
        <f t="shared" si="2"/>
        <v>6</v>
      </c>
      <c r="N10">
        <f t="shared" si="3"/>
        <v>1.6</v>
      </c>
      <c r="O10" t="str">
        <f t="shared" si="4"/>
        <v>6' 1.6"</v>
      </c>
      <c r="P10">
        <f t="shared" si="5"/>
        <v>315</v>
      </c>
      <c r="Q10">
        <f t="shared" si="6"/>
        <v>16</v>
      </c>
      <c r="R10">
        <f t="shared" si="6"/>
        <v>33</v>
      </c>
      <c r="S10">
        <f t="shared" si="6"/>
        <v>37</v>
      </c>
      <c r="T10">
        <f>_xlfn.XLOOKUP(A10,'January 2023 Data'!$A$4:$A$49,'January 2023 Data'!$H$4:$H$49,,0)</f>
        <v>186</v>
      </c>
      <c r="U10">
        <f t="shared" si="7"/>
        <v>1</v>
      </c>
      <c r="V10" s="22" t="s">
        <v>222</v>
      </c>
      <c r="W10" t="str">
        <f t="shared" si="8"/>
        <v>Wakamotoharu, 10-3</v>
      </c>
      <c r="X10">
        <v>5</v>
      </c>
      <c r="Y10">
        <f t="shared" si="9"/>
        <v>0</v>
      </c>
    </row>
    <row r="11" spans="1:27" x14ac:dyDescent="0.35">
      <c r="A11" s="1" t="s">
        <v>112</v>
      </c>
      <c r="B11" s="1">
        <v>1</v>
      </c>
      <c r="C11" s="1" t="s">
        <v>31</v>
      </c>
      <c r="D11" s="1" t="s">
        <v>42</v>
      </c>
      <c r="E11" s="1" t="s">
        <v>132</v>
      </c>
      <c r="F11" s="1" t="s">
        <v>42</v>
      </c>
      <c r="G11" s="1">
        <f>_xlfn.XLOOKUP(F11,'rank lookup'!$A$1:$A$21,'rank lookup'!$B$1:$B$21,,0)</f>
        <v>4</v>
      </c>
      <c r="H11" s="1"/>
      <c r="I11" s="19">
        <v>182</v>
      </c>
      <c r="J11" s="19">
        <v>165</v>
      </c>
      <c r="K11" s="5">
        <f t="shared" si="0"/>
        <v>49.812824538099264</v>
      </c>
      <c r="L11" s="4">
        <f t="shared" si="1"/>
        <v>71.653543307086608</v>
      </c>
      <c r="M11">
        <f t="shared" si="2"/>
        <v>5</v>
      </c>
      <c r="N11">
        <f t="shared" si="3"/>
        <v>11.7</v>
      </c>
      <c r="O11" t="str">
        <f t="shared" si="4"/>
        <v>5' 11.7"</v>
      </c>
      <c r="P11">
        <f t="shared" si="5"/>
        <v>364</v>
      </c>
      <c r="Q11">
        <f t="shared" si="6"/>
        <v>30</v>
      </c>
      <c r="R11">
        <f t="shared" si="6"/>
        <v>16</v>
      </c>
      <c r="S11">
        <f t="shared" si="6"/>
        <v>11</v>
      </c>
      <c r="T11">
        <f>_xlfn.XLOOKUP(A11,'January 2023 Data'!$A$4:$A$49,'January 2023 Data'!$H$4:$H$49,,0)</f>
        <v>182</v>
      </c>
      <c r="U11">
        <f t="shared" si="7"/>
        <v>0</v>
      </c>
      <c r="V11" s="22" t="s">
        <v>223</v>
      </c>
      <c r="W11" t="str">
        <f t="shared" si="8"/>
        <v>Daieisho, 11-2</v>
      </c>
    </row>
    <row r="12" spans="1:27" x14ac:dyDescent="0.35">
      <c r="A12" s="1" t="s">
        <v>124</v>
      </c>
      <c r="B12" s="1"/>
      <c r="C12" s="1" t="s">
        <v>132</v>
      </c>
      <c r="D12" s="1" t="s">
        <v>42</v>
      </c>
      <c r="E12" s="1" t="s">
        <v>132</v>
      </c>
      <c r="F12" s="1" t="s">
        <v>42</v>
      </c>
      <c r="G12" s="1">
        <f>_xlfn.XLOOKUP(F12,'rank lookup'!$A$1:$A$21,'rank lookup'!$B$1:$B$21,,0)</f>
        <v>4</v>
      </c>
      <c r="H12" s="1"/>
      <c r="I12" s="19">
        <v>174</v>
      </c>
      <c r="J12" s="19">
        <v>133</v>
      </c>
      <c r="K12" s="5">
        <f t="shared" si="0"/>
        <v>43.929184832870916</v>
      </c>
      <c r="L12" s="4">
        <f t="shared" si="1"/>
        <v>68.503937007874015</v>
      </c>
      <c r="M12">
        <f t="shared" si="2"/>
        <v>5</v>
      </c>
      <c r="N12">
        <f t="shared" si="3"/>
        <v>8.5</v>
      </c>
      <c r="O12" t="str">
        <f t="shared" si="4"/>
        <v>5' 8.5"</v>
      </c>
      <c r="P12">
        <f t="shared" si="5"/>
        <v>293</v>
      </c>
      <c r="Q12">
        <f t="shared" si="6"/>
        <v>40</v>
      </c>
      <c r="R12">
        <f t="shared" si="6"/>
        <v>39</v>
      </c>
      <c r="S12">
        <f t="shared" si="6"/>
        <v>28</v>
      </c>
      <c r="T12">
        <f>_xlfn.XLOOKUP(A12,'January 2023 Data'!$A$4:$A$49,'January 2023 Data'!$H$4:$H$49,,0)</f>
        <v>174</v>
      </c>
      <c r="U12">
        <f t="shared" si="7"/>
        <v>0</v>
      </c>
      <c r="V12" s="22" t="s">
        <v>224</v>
      </c>
      <c r="W12" t="str">
        <f t="shared" si="8"/>
        <v>Tobizaru, 4-9</v>
      </c>
    </row>
    <row r="13" spans="1:27" ht="25" x14ac:dyDescent="0.35">
      <c r="A13" s="1" t="s">
        <v>109</v>
      </c>
      <c r="B13" s="1">
        <v>1</v>
      </c>
      <c r="C13" s="1" t="s">
        <v>39</v>
      </c>
      <c r="D13" s="1" t="s">
        <v>39</v>
      </c>
      <c r="E13" s="1" t="s">
        <v>31</v>
      </c>
      <c r="F13" s="1" t="s">
        <v>132</v>
      </c>
      <c r="G13" s="1">
        <f>_xlfn.XLOOKUP(F13,'rank lookup'!$A$1:$A$21,'rank lookup'!$B$1:$B$21,,0)</f>
        <v>5</v>
      </c>
      <c r="H13" s="1" t="s">
        <v>199</v>
      </c>
      <c r="I13" s="19">
        <v>184</v>
      </c>
      <c r="J13" s="19">
        <v>160</v>
      </c>
      <c r="K13" s="5">
        <f t="shared" si="0"/>
        <v>47.258979206049148</v>
      </c>
      <c r="L13" s="4">
        <f t="shared" si="1"/>
        <v>72.440944881889763</v>
      </c>
      <c r="M13">
        <f t="shared" si="2"/>
        <v>6</v>
      </c>
      <c r="N13">
        <f t="shared" si="3"/>
        <v>0.4</v>
      </c>
      <c r="O13" t="str">
        <f t="shared" si="4"/>
        <v>6' 0.4"</v>
      </c>
      <c r="P13">
        <f t="shared" si="5"/>
        <v>353</v>
      </c>
      <c r="Q13">
        <f t="shared" si="6"/>
        <v>24</v>
      </c>
      <c r="R13">
        <f t="shared" si="6"/>
        <v>21</v>
      </c>
      <c r="S13">
        <f t="shared" si="6"/>
        <v>20</v>
      </c>
      <c r="T13">
        <f>_xlfn.XLOOKUP(A13,'January 2023 Data'!$A$4:$A$49,'January 2023 Data'!$H$4:$H$49,,0)</f>
        <v>183</v>
      </c>
      <c r="U13">
        <f t="shared" si="7"/>
        <v>1</v>
      </c>
      <c r="V13" s="22" t="s">
        <v>225</v>
      </c>
      <c r="W13" t="str">
        <f t="shared" si="8"/>
        <v>Shodai, 8-5</v>
      </c>
    </row>
    <row r="14" spans="1:27" x14ac:dyDescent="0.35">
      <c r="A14" s="1" t="s">
        <v>92</v>
      </c>
      <c r="B14" s="1">
        <v>2</v>
      </c>
      <c r="C14" s="1" t="s">
        <v>137</v>
      </c>
      <c r="D14" s="1" t="s">
        <v>42</v>
      </c>
      <c r="E14" s="1" t="s">
        <v>136</v>
      </c>
      <c r="F14" s="1" t="s">
        <v>132</v>
      </c>
      <c r="G14" s="1">
        <f>_xlfn.XLOOKUP(F14,'rank lookup'!$A$1:$A$21,'rank lookup'!$B$1:$B$21,,0)</f>
        <v>5</v>
      </c>
      <c r="H14" s="1"/>
      <c r="I14" s="19">
        <v>189</v>
      </c>
      <c r="J14" s="19">
        <v>174</v>
      </c>
      <c r="K14" s="5">
        <f t="shared" si="0"/>
        <v>48.710842361636011</v>
      </c>
      <c r="L14" s="4">
        <f t="shared" si="1"/>
        <v>74.409448818897644</v>
      </c>
      <c r="M14">
        <f t="shared" si="2"/>
        <v>6</v>
      </c>
      <c r="N14">
        <f t="shared" si="3"/>
        <v>2.4</v>
      </c>
      <c r="O14" t="str">
        <f t="shared" si="4"/>
        <v>6' 2.4"</v>
      </c>
      <c r="P14">
        <f t="shared" si="5"/>
        <v>384</v>
      </c>
      <c r="Q14">
        <f t="shared" si="6"/>
        <v>9</v>
      </c>
      <c r="R14">
        <f t="shared" si="6"/>
        <v>10</v>
      </c>
      <c r="S14">
        <f t="shared" si="6"/>
        <v>16</v>
      </c>
      <c r="T14">
        <f>_xlfn.XLOOKUP(A14,'January 2023 Data'!$A$4:$A$49,'January 2023 Data'!$H$4:$H$49,,0)</f>
        <v>189</v>
      </c>
      <c r="U14">
        <f t="shared" si="7"/>
        <v>0</v>
      </c>
      <c r="V14" s="22" t="s">
        <v>226</v>
      </c>
      <c r="W14" t="str">
        <f t="shared" si="8"/>
        <v>Tamawashi, 3-10</v>
      </c>
    </row>
    <row r="15" spans="1:27" ht="25" x14ac:dyDescent="0.35">
      <c r="A15" s="1" t="s">
        <v>93</v>
      </c>
      <c r="B15" s="1">
        <v>1</v>
      </c>
      <c r="C15" s="1" t="s">
        <v>42</v>
      </c>
      <c r="D15" s="1" t="s">
        <v>143</v>
      </c>
      <c r="E15" s="1" t="s">
        <v>137</v>
      </c>
      <c r="F15" s="1" t="s">
        <v>136</v>
      </c>
      <c r="G15" s="1">
        <f>_xlfn.XLOOKUP(F15,'rank lookup'!$A$1:$A$21,'rank lookup'!$B$1:$B$21,,0)</f>
        <v>6</v>
      </c>
      <c r="H15" s="1" t="s">
        <v>200</v>
      </c>
      <c r="I15" s="19">
        <v>186</v>
      </c>
      <c r="J15" s="19">
        <v>156</v>
      </c>
      <c r="K15" s="5">
        <f t="shared" si="0"/>
        <v>45.091918140825534</v>
      </c>
      <c r="L15" s="4">
        <f t="shared" si="1"/>
        <v>73.228346456692918</v>
      </c>
      <c r="M15">
        <f t="shared" si="2"/>
        <v>6</v>
      </c>
      <c r="N15">
        <f t="shared" si="3"/>
        <v>1.2</v>
      </c>
      <c r="O15" t="str">
        <f t="shared" si="4"/>
        <v>6' 1.2"</v>
      </c>
      <c r="P15">
        <f t="shared" si="5"/>
        <v>344</v>
      </c>
      <c r="Q15">
        <f t="shared" si="6"/>
        <v>18</v>
      </c>
      <c r="R15">
        <f t="shared" si="6"/>
        <v>24</v>
      </c>
      <c r="S15">
        <f t="shared" si="6"/>
        <v>23</v>
      </c>
      <c r="T15">
        <f>_xlfn.XLOOKUP(A15,'January 2023 Data'!$A$4:$A$49,'January 2023 Data'!$H$4:$H$49,,0)</f>
        <v>187</v>
      </c>
      <c r="U15">
        <f t="shared" si="7"/>
        <v>-1</v>
      </c>
      <c r="V15" s="22" t="s">
        <v>225</v>
      </c>
      <c r="W15" t="str">
        <f t="shared" si="8"/>
        <v>Abi, 8-5</v>
      </c>
    </row>
    <row r="16" spans="1:27" ht="25" x14ac:dyDescent="0.35">
      <c r="A16" t="s">
        <v>149</v>
      </c>
      <c r="C16" s="1" t="s">
        <v>148</v>
      </c>
      <c r="D16" s="1" t="s">
        <v>141</v>
      </c>
      <c r="E16" s="1" t="s">
        <v>140</v>
      </c>
      <c r="F16" s="1" t="s">
        <v>136</v>
      </c>
      <c r="G16" s="1">
        <f>_xlfn.XLOOKUP(F16,'rank lookup'!$A$1:$A$21,'rank lookup'!$B$1:$B$21,,0)</f>
        <v>6</v>
      </c>
      <c r="H16" s="1" t="s">
        <v>201</v>
      </c>
      <c r="I16" s="20">
        <v>188</v>
      </c>
      <c r="J16" s="19">
        <v>154</v>
      </c>
      <c r="K16" s="5">
        <f t="shared" si="0"/>
        <v>43.571751923947488</v>
      </c>
      <c r="L16" s="4">
        <f t="shared" si="1"/>
        <v>74.015748031496059</v>
      </c>
      <c r="M16">
        <f t="shared" si="2"/>
        <v>6</v>
      </c>
      <c r="N16">
        <f t="shared" si="3"/>
        <v>2</v>
      </c>
      <c r="O16" t="str">
        <f t="shared" si="4"/>
        <v>6' 2"</v>
      </c>
      <c r="P16">
        <f t="shared" si="5"/>
        <v>340</v>
      </c>
      <c r="Q16">
        <f t="shared" si="6"/>
        <v>12</v>
      </c>
      <c r="R16">
        <f t="shared" si="6"/>
        <v>27</v>
      </c>
      <c r="S16">
        <f t="shared" si="6"/>
        <v>29</v>
      </c>
      <c r="T16">
        <f>_xlfn.XLOOKUP(A16,'January 2023 Data'!$A$4:$A$49,'January 2023 Data'!$H$4:$H$49,,0)</f>
        <v>187</v>
      </c>
      <c r="U16">
        <f t="shared" si="7"/>
        <v>1</v>
      </c>
      <c r="V16" s="22" t="s">
        <v>227</v>
      </c>
      <c r="W16" t="str">
        <f t="shared" si="8"/>
        <v>Ryuden, 8-12</v>
      </c>
    </row>
    <row r="17" spans="1:23" x14ac:dyDescent="0.35">
      <c r="A17" s="1" t="s">
        <v>116</v>
      </c>
      <c r="B17" s="1">
        <v>2</v>
      </c>
      <c r="C17" s="1" t="s">
        <v>39</v>
      </c>
      <c r="D17" s="1" t="s">
        <v>31</v>
      </c>
      <c r="E17" s="1" t="s">
        <v>136</v>
      </c>
      <c r="F17" s="1" t="s">
        <v>137</v>
      </c>
      <c r="G17" s="1">
        <f>_xlfn.XLOOKUP(F17,'rank lookup'!$A$1:$A$21,'rank lookup'!$B$1:$B$21,,0)</f>
        <v>7</v>
      </c>
      <c r="H17" s="1"/>
      <c r="I17" s="19">
        <v>179</v>
      </c>
      <c r="J17" s="19">
        <v>170</v>
      </c>
      <c r="K17" s="5">
        <f t="shared" si="0"/>
        <v>53.057020692238069</v>
      </c>
      <c r="L17" s="4">
        <f t="shared" si="1"/>
        <v>70.472440944881896</v>
      </c>
      <c r="M17">
        <f t="shared" si="2"/>
        <v>5</v>
      </c>
      <c r="N17">
        <f t="shared" si="3"/>
        <v>10.5</v>
      </c>
      <c r="O17" t="str">
        <f t="shared" si="4"/>
        <v>5' 10.5"</v>
      </c>
      <c r="P17">
        <f t="shared" si="5"/>
        <v>375</v>
      </c>
      <c r="Q17">
        <f t="shared" si="6"/>
        <v>34</v>
      </c>
      <c r="R17">
        <f t="shared" si="6"/>
        <v>15</v>
      </c>
      <c r="S17">
        <f t="shared" si="6"/>
        <v>6</v>
      </c>
      <c r="T17">
        <f>_xlfn.XLOOKUP(A17,'January 2023 Data'!$A$4:$A$49,'January 2023 Data'!$H$4:$H$49,,0)</f>
        <v>179</v>
      </c>
      <c r="U17">
        <f t="shared" si="7"/>
        <v>0</v>
      </c>
      <c r="V17" s="22" t="s">
        <v>224</v>
      </c>
      <c r="W17" t="str">
        <f t="shared" si="8"/>
        <v>Mitakeumi, 4-9</v>
      </c>
    </row>
    <row r="18" spans="1:23" ht="25" x14ac:dyDescent="0.35">
      <c r="A18" s="1" t="s">
        <v>138</v>
      </c>
      <c r="C18" s="1" t="s">
        <v>139</v>
      </c>
      <c r="D18" s="1" t="s">
        <v>141</v>
      </c>
      <c r="E18" s="1" t="s">
        <v>140</v>
      </c>
      <c r="F18" s="1" t="s">
        <v>137</v>
      </c>
      <c r="G18" s="1">
        <f>_xlfn.XLOOKUP(F18,'rank lookup'!$A$1:$A$21,'rank lookup'!$B$1:$B$21,,0)</f>
        <v>7</v>
      </c>
      <c r="H18" s="1" t="s">
        <v>202</v>
      </c>
      <c r="I18" s="19">
        <v>185</v>
      </c>
      <c r="J18" s="19">
        <v>176</v>
      </c>
      <c r="K18" s="5">
        <f t="shared" si="0"/>
        <v>51.424397370343314</v>
      </c>
      <c r="L18" s="4">
        <f t="shared" si="1"/>
        <v>72.834645669291348</v>
      </c>
      <c r="M18">
        <f t="shared" si="2"/>
        <v>6</v>
      </c>
      <c r="N18">
        <f t="shared" si="3"/>
        <v>0.8</v>
      </c>
      <c r="O18" t="str">
        <f t="shared" si="4"/>
        <v>6' 0.8"</v>
      </c>
      <c r="P18">
        <f t="shared" si="5"/>
        <v>388</v>
      </c>
      <c r="Q18">
        <f t="shared" si="6"/>
        <v>21</v>
      </c>
      <c r="R18">
        <f t="shared" si="6"/>
        <v>9</v>
      </c>
      <c r="S18">
        <f t="shared" si="6"/>
        <v>9</v>
      </c>
      <c r="T18">
        <f>_xlfn.XLOOKUP(A18,'January 2023 Data'!$A$4:$A$49,'January 2023 Data'!$H$4:$H$49,,0)</f>
        <v>184</v>
      </c>
      <c r="U18">
        <f t="shared" si="7"/>
        <v>1</v>
      </c>
      <c r="V18" s="22" t="s">
        <v>224</v>
      </c>
      <c r="W18" t="str">
        <f t="shared" si="8"/>
        <v>Nishikigi, 4-9</v>
      </c>
    </row>
    <row r="19" spans="1:23" x14ac:dyDescent="0.35">
      <c r="A19" s="1" t="s">
        <v>117</v>
      </c>
      <c r="B19" s="1"/>
      <c r="C19" s="1" t="s">
        <v>136</v>
      </c>
      <c r="D19" s="1" t="s">
        <v>136</v>
      </c>
      <c r="E19" s="1" t="s">
        <v>42</v>
      </c>
      <c r="F19" s="1" t="s">
        <v>139</v>
      </c>
      <c r="G19" s="1">
        <f>_xlfn.XLOOKUP(F19,'rank lookup'!$A$1:$A$21,'rank lookup'!$B$1:$B$21,,0)</f>
        <v>8</v>
      </c>
      <c r="H19" s="1"/>
      <c r="I19" s="19">
        <v>180</v>
      </c>
      <c r="J19" s="19">
        <v>154</v>
      </c>
      <c r="K19" s="5">
        <f t="shared" si="0"/>
        <v>47.530864197530867</v>
      </c>
      <c r="L19" s="4">
        <f t="shared" si="1"/>
        <v>70.866141732283467</v>
      </c>
      <c r="M19">
        <f t="shared" si="2"/>
        <v>5</v>
      </c>
      <c r="N19">
        <f t="shared" si="3"/>
        <v>10.9</v>
      </c>
      <c r="O19" t="str">
        <f t="shared" si="4"/>
        <v>5' 10.9"</v>
      </c>
      <c r="P19">
        <f t="shared" si="5"/>
        <v>340</v>
      </c>
      <c r="Q19">
        <f t="shared" si="6"/>
        <v>33</v>
      </c>
      <c r="R19">
        <f t="shared" si="6"/>
        <v>27</v>
      </c>
      <c r="S19">
        <f t="shared" si="6"/>
        <v>19</v>
      </c>
      <c r="T19">
        <f>_xlfn.XLOOKUP(A19,'January 2023 Data'!$A$4:$A$49,'January 2023 Data'!$H$4:$H$49,,0)</f>
        <v>180</v>
      </c>
      <c r="U19">
        <f t="shared" si="7"/>
        <v>0</v>
      </c>
      <c r="V19" s="22" t="s">
        <v>224</v>
      </c>
      <c r="W19" t="str">
        <f t="shared" si="8"/>
        <v>Meisei, 4-9</v>
      </c>
    </row>
    <row r="20" spans="1:23" ht="25" x14ac:dyDescent="0.35">
      <c r="A20" s="1" t="s">
        <v>120</v>
      </c>
      <c r="B20" s="1"/>
      <c r="C20" s="1" t="s">
        <v>135</v>
      </c>
      <c r="D20" s="1" t="s">
        <v>147</v>
      </c>
      <c r="E20" s="1" t="s">
        <v>142</v>
      </c>
      <c r="F20" s="1" t="s">
        <v>139</v>
      </c>
      <c r="G20" s="1">
        <f>_xlfn.XLOOKUP(F20,'rank lookup'!$A$1:$A$21,'rank lookup'!$B$1:$B$21,,0)</f>
        <v>8</v>
      </c>
      <c r="H20" s="1" t="s">
        <v>203</v>
      </c>
      <c r="I20" s="19">
        <v>177</v>
      </c>
      <c r="J20" s="19">
        <v>164</v>
      </c>
      <c r="K20" s="5">
        <f t="shared" si="0"/>
        <v>52.347665102620574</v>
      </c>
      <c r="L20" s="4">
        <f t="shared" si="1"/>
        <v>69.685039370078741</v>
      </c>
      <c r="M20">
        <f t="shared" si="2"/>
        <v>5</v>
      </c>
      <c r="N20">
        <f t="shared" si="3"/>
        <v>9.6999999999999993</v>
      </c>
      <c r="O20" t="str">
        <f t="shared" si="4"/>
        <v>5' 9.7"</v>
      </c>
      <c r="P20">
        <f t="shared" si="5"/>
        <v>362</v>
      </c>
      <c r="Q20">
        <f t="shared" si="6"/>
        <v>35</v>
      </c>
      <c r="R20">
        <f t="shared" si="6"/>
        <v>19</v>
      </c>
      <c r="S20">
        <f t="shared" si="6"/>
        <v>7</v>
      </c>
      <c r="T20">
        <f>_xlfn.XLOOKUP(A20,'January 2023 Data'!$A$4:$A$49,'January 2023 Data'!$H$4:$H$49,,0)</f>
        <v>178</v>
      </c>
      <c r="U20">
        <f t="shared" si="7"/>
        <v>-1</v>
      </c>
      <c r="V20" t="s">
        <v>218</v>
      </c>
      <c r="W20" t="str">
        <f t="shared" si="8"/>
        <v>Onosho, OUT</v>
      </c>
    </row>
    <row r="21" spans="1:23" x14ac:dyDescent="0.35">
      <c r="A21" s="1" t="s">
        <v>133</v>
      </c>
      <c r="C21" t="s">
        <v>132</v>
      </c>
      <c r="D21" s="1" t="s">
        <v>137</v>
      </c>
      <c r="E21" s="1" t="s">
        <v>137</v>
      </c>
      <c r="F21" s="1" t="s">
        <v>140</v>
      </c>
      <c r="G21" s="1">
        <f>_xlfn.XLOOKUP(F21,'rank lookup'!$A$1:$A$21,'rank lookup'!$B$1:$B$21,,0)</f>
        <v>9</v>
      </c>
      <c r="H21" s="1"/>
      <c r="I21" s="19">
        <v>171</v>
      </c>
      <c r="J21" s="19">
        <v>117</v>
      </c>
      <c r="K21" s="5">
        <f t="shared" si="0"/>
        <v>40.012311480455523</v>
      </c>
      <c r="L21" s="4">
        <f t="shared" si="1"/>
        <v>67.322834645669289</v>
      </c>
      <c r="M21">
        <f t="shared" si="2"/>
        <v>5</v>
      </c>
      <c r="N21">
        <f t="shared" si="3"/>
        <v>7.3</v>
      </c>
      <c r="O21" t="str">
        <f t="shared" si="4"/>
        <v>5' 7.3"</v>
      </c>
      <c r="P21">
        <f t="shared" si="5"/>
        <v>258</v>
      </c>
      <c r="Q21">
        <f t="shared" si="6"/>
        <v>41</v>
      </c>
      <c r="R21">
        <f t="shared" si="6"/>
        <v>42</v>
      </c>
      <c r="S21">
        <f t="shared" si="6"/>
        <v>40</v>
      </c>
      <c r="T21">
        <f>_xlfn.XLOOKUP(A21,'January 2023 Data'!$A$4:$A$49,'January 2023 Data'!$H$4:$H$49,,0)</f>
        <v>171</v>
      </c>
      <c r="U21">
        <f t="shared" si="7"/>
        <v>0</v>
      </c>
      <c r="V21" s="22" t="s">
        <v>222</v>
      </c>
      <c r="W21" t="str">
        <f t="shared" si="8"/>
        <v>Midorifuji, 10-3</v>
      </c>
    </row>
    <row r="22" spans="1:23" ht="25" x14ac:dyDescent="0.35">
      <c r="A22" t="s">
        <v>146</v>
      </c>
      <c r="C22" s="1" t="s">
        <v>147</v>
      </c>
      <c r="D22" s="1" t="s">
        <v>147</v>
      </c>
      <c r="E22" s="1" t="s">
        <v>150</v>
      </c>
      <c r="F22" s="1" t="s">
        <v>140</v>
      </c>
      <c r="G22" s="1">
        <f>_xlfn.XLOOKUP(F22,'rank lookup'!$A$1:$A$21,'rank lookup'!$B$1:$B$21,,0)</f>
        <v>9</v>
      </c>
      <c r="H22" s="1" t="s">
        <v>204</v>
      </c>
      <c r="I22" s="19">
        <v>191</v>
      </c>
      <c r="J22" s="19">
        <v>163</v>
      </c>
      <c r="K22" s="5">
        <f t="shared" si="0"/>
        <v>44.680792741427041</v>
      </c>
      <c r="L22" s="4">
        <f t="shared" si="1"/>
        <v>75.196850393700785</v>
      </c>
      <c r="M22">
        <f t="shared" si="2"/>
        <v>6</v>
      </c>
      <c r="N22">
        <f t="shared" si="3"/>
        <v>3.2</v>
      </c>
      <c r="O22" t="str">
        <f t="shared" si="4"/>
        <v>6' 3.2"</v>
      </c>
      <c r="P22">
        <f t="shared" si="5"/>
        <v>359</v>
      </c>
      <c r="Q22">
        <f t="shared" si="6"/>
        <v>6</v>
      </c>
      <c r="R22">
        <f t="shared" si="6"/>
        <v>20</v>
      </c>
      <c r="S22">
        <f t="shared" si="6"/>
        <v>24</v>
      </c>
      <c r="T22">
        <f>_xlfn.XLOOKUP(A22,'January 2023 Data'!$A$4:$A$49,'January 2023 Data'!$H$4:$H$49,,0)</f>
        <v>189</v>
      </c>
      <c r="U22">
        <f t="shared" si="7"/>
        <v>2</v>
      </c>
      <c r="V22" s="22" t="s">
        <v>228</v>
      </c>
      <c r="W22" t="str">
        <f t="shared" si="8"/>
        <v>Kotoshoho, 5-8</v>
      </c>
    </row>
    <row r="23" spans="1:23" x14ac:dyDescent="0.35">
      <c r="A23" s="1" t="s">
        <v>111</v>
      </c>
      <c r="B23" s="1"/>
      <c r="C23" s="1" t="s">
        <v>140</v>
      </c>
      <c r="D23" s="1" t="s">
        <v>139</v>
      </c>
      <c r="E23" s="1" t="s">
        <v>139</v>
      </c>
      <c r="F23" s="1" t="s">
        <v>141</v>
      </c>
      <c r="G23" s="1">
        <f>_xlfn.XLOOKUP(F23,'rank lookup'!$A$1:$A$21,'rank lookup'!$B$1:$B$21,,0)</f>
        <v>10</v>
      </c>
      <c r="H23" s="1"/>
      <c r="I23" s="19">
        <v>182</v>
      </c>
      <c r="J23" s="19">
        <v>142</v>
      </c>
      <c r="K23" s="5">
        <f t="shared" si="0"/>
        <v>42.869218693394522</v>
      </c>
      <c r="L23" s="4">
        <f t="shared" si="1"/>
        <v>71.653543307086608</v>
      </c>
      <c r="M23">
        <f t="shared" si="2"/>
        <v>5</v>
      </c>
      <c r="N23">
        <f t="shared" si="3"/>
        <v>11.7</v>
      </c>
      <c r="O23" t="str">
        <f t="shared" si="4"/>
        <v>5' 11.7"</v>
      </c>
      <c r="P23">
        <f t="shared" si="5"/>
        <v>313</v>
      </c>
      <c r="Q23">
        <f t="shared" si="6"/>
        <v>30</v>
      </c>
      <c r="R23">
        <f t="shared" si="6"/>
        <v>34</v>
      </c>
      <c r="S23">
        <f t="shared" si="6"/>
        <v>32</v>
      </c>
      <c r="T23">
        <f>_xlfn.XLOOKUP(A23,'January 2023 Data'!$A$4:$A$49,'January 2023 Data'!$H$4:$H$49,,0)</f>
        <v>182</v>
      </c>
      <c r="U23">
        <f t="shared" si="7"/>
        <v>0</v>
      </c>
      <c r="V23" s="22" t="s">
        <v>228</v>
      </c>
      <c r="W23" t="str">
        <f t="shared" si="8"/>
        <v>Sadanoumi, 5-8</v>
      </c>
    </row>
    <row r="24" spans="1:23" ht="25" x14ac:dyDescent="0.35">
      <c r="A24" s="1" t="s">
        <v>99</v>
      </c>
      <c r="B24" s="1"/>
      <c r="C24" s="1" t="s">
        <v>141</v>
      </c>
      <c r="D24" s="1" t="s">
        <v>135</v>
      </c>
      <c r="E24" s="1" t="s">
        <v>143</v>
      </c>
      <c r="F24" s="1" t="s">
        <v>141</v>
      </c>
      <c r="G24" s="1">
        <f>_xlfn.XLOOKUP(F24,'rank lookup'!$A$1:$A$21,'rank lookup'!$B$1:$B$21,,0)</f>
        <v>10</v>
      </c>
      <c r="H24" s="1" t="s">
        <v>205</v>
      </c>
      <c r="I24" s="19">
        <v>184</v>
      </c>
      <c r="J24" s="19">
        <v>150</v>
      </c>
      <c r="K24" s="5">
        <f t="shared" si="0"/>
        <v>44.305293005671075</v>
      </c>
      <c r="L24" s="4">
        <f t="shared" si="1"/>
        <v>72.440944881889763</v>
      </c>
      <c r="M24">
        <f t="shared" si="2"/>
        <v>6</v>
      </c>
      <c r="N24">
        <f t="shared" si="3"/>
        <v>0.4</v>
      </c>
      <c r="O24" t="str">
        <f t="shared" si="4"/>
        <v>6' 0.4"</v>
      </c>
      <c r="P24">
        <f t="shared" si="5"/>
        <v>331</v>
      </c>
      <c r="Q24">
        <f t="shared" si="6"/>
        <v>24</v>
      </c>
      <c r="R24">
        <f t="shared" si="6"/>
        <v>29</v>
      </c>
      <c r="S24">
        <f t="shared" si="6"/>
        <v>25</v>
      </c>
      <c r="T24">
        <f>_xlfn.XLOOKUP(A24,'January 2023 Data'!$A$4:$A$49,'January 2023 Data'!$H$4:$H$49,,0)</f>
        <v>183</v>
      </c>
      <c r="U24">
        <f t="shared" si="7"/>
        <v>1</v>
      </c>
      <c r="V24" s="22" t="s">
        <v>225</v>
      </c>
      <c r="W24" t="str">
        <f t="shared" si="8"/>
        <v>Endo, 8-5</v>
      </c>
    </row>
    <row r="25" spans="1:23" ht="25" x14ac:dyDescent="0.35">
      <c r="A25" s="1" t="s">
        <v>96</v>
      </c>
      <c r="B25" s="1"/>
      <c r="C25" s="1" t="s">
        <v>139</v>
      </c>
      <c r="D25" s="1" t="s">
        <v>132</v>
      </c>
      <c r="E25" s="1" t="s">
        <v>31</v>
      </c>
      <c r="F25" s="1" t="s">
        <v>135</v>
      </c>
      <c r="G25" s="1">
        <f>_xlfn.XLOOKUP(F25,'rank lookup'!$A$1:$A$21,'rank lookup'!$B$1:$B$21,,0)</f>
        <v>11</v>
      </c>
      <c r="H25" s="1" t="s">
        <v>206</v>
      </c>
      <c r="I25" s="19">
        <v>188</v>
      </c>
      <c r="J25" s="19">
        <v>177</v>
      </c>
      <c r="K25" s="5">
        <f t="shared" si="0"/>
        <v>50.079221367134451</v>
      </c>
      <c r="L25" s="4">
        <f t="shared" si="1"/>
        <v>74.015748031496059</v>
      </c>
      <c r="M25">
        <f t="shared" si="2"/>
        <v>6</v>
      </c>
      <c r="N25">
        <f t="shared" si="3"/>
        <v>2</v>
      </c>
      <c r="O25" t="str">
        <f t="shared" si="4"/>
        <v>6' 2"</v>
      </c>
      <c r="P25">
        <f t="shared" si="5"/>
        <v>390</v>
      </c>
      <c r="Q25">
        <f t="shared" si="6"/>
        <v>12</v>
      </c>
      <c r="R25">
        <f t="shared" si="6"/>
        <v>7</v>
      </c>
      <c r="S25">
        <f t="shared" si="6"/>
        <v>10</v>
      </c>
      <c r="T25">
        <f>_xlfn.XLOOKUP(A25,'January 2023 Data'!$A$4:$A$49,'January 2023 Data'!$H$4:$H$49,,0)</f>
        <v>186</v>
      </c>
      <c r="U25">
        <f t="shared" si="7"/>
        <v>2</v>
      </c>
      <c r="V25" s="22" t="s">
        <v>225</v>
      </c>
      <c r="W25" t="str">
        <f t="shared" si="8"/>
        <v>Takayasu, 8-5</v>
      </c>
    </row>
    <row r="26" spans="1:23" x14ac:dyDescent="0.35">
      <c r="A26" s="1" t="s">
        <v>103</v>
      </c>
      <c r="B26" s="1"/>
      <c r="C26" s="1" t="s">
        <v>142</v>
      </c>
      <c r="D26" s="1" t="s">
        <v>140</v>
      </c>
      <c r="E26" s="1" t="s">
        <v>141</v>
      </c>
      <c r="F26" s="1" t="s">
        <v>135</v>
      </c>
      <c r="G26" s="1">
        <f>_xlfn.XLOOKUP(F26,'rank lookup'!$A$1:$A$21,'rank lookup'!$B$1:$B$21,,0)</f>
        <v>11</v>
      </c>
      <c r="H26" s="1"/>
      <c r="I26" s="19">
        <v>184</v>
      </c>
      <c r="J26" s="19">
        <v>159</v>
      </c>
      <c r="K26" s="5">
        <f t="shared" si="0"/>
        <v>46.963610586011342</v>
      </c>
      <c r="L26" s="4">
        <f t="shared" si="1"/>
        <v>72.440944881889763</v>
      </c>
      <c r="M26">
        <f t="shared" si="2"/>
        <v>6</v>
      </c>
      <c r="N26">
        <f t="shared" si="3"/>
        <v>0.4</v>
      </c>
      <c r="O26" t="str">
        <f t="shared" si="4"/>
        <v>6' 0.4"</v>
      </c>
      <c r="P26">
        <f t="shared" si="5"/>
        <v>351</v>
      </c>
      <c r="Q26">
        <f t="shared" si="6"/>
        <v>24</v>
      </c>
      <c r="R26">
        <f t="shared" si="6"/>
        <v>22</v>
      </c>
      <c r="S26">
        <f t="shared" si="6"/>
        <v>22</v>
      </c>
      <c r="T26">
        <f>_xlfn.XLOOKUP(A26,'January 2023 Data'!$A$4:$A$49,'January 2023 Data'!$H$4:$H$49,,0)</f>
        <v>184</v>
      </c>
      <c r="U26">
        <f t="shared" si="7"/>
        <v>0</v>
      </c>
      <c r="V26" s="22" t="s">
        <v>220</v>
      </c>
      <c r="W26" t="str">
        <f t="shared" si="8"/>
        <v>Hokutofuji, 7-6</v>
      </c>
    </row>
    <row r="27" spans="1:23" x14ac:dyDescent="0.35">
      <c r="A27" s="1" t="s">
        <v>121</v>
      </c>
      <c r="B27" s="1"/>
      <c r="C27" s="1" t="s">
        <v>137</v>
      </c>
      <c r="D27" s="1" t="s">
        <v>137</v>
      </c>
      <c r="E27" s="1" t="s">
        <v>135</v>
      </c>
      <c r="F27" s="1" t="s">
        <v>142</v>
      </c>
      <c r="G27" s="1">
        <f>_xlfn.XLOOKUP(F27,'rank lookup'!$A$1:$A$21,'rank lookup'!$B$1:$B$21,,0)</f>
        <v>12</v>
      </c>
      <c r="H27" s="1"/>
      <c r="I27" s="19">
        <v>175</v>
      </c>
      <c r="J27" s="19">
        <v>146</v>
      </c>
      <c r="K27" s="5">
        <f t="shared" si="0"/>
        <v>47.673469387755098</v>
      </c>
      <c r="L27" s="4">
        <f t="shared" si="1"/>
        <v>68.897637795275585</v>
      </c>
      <c r="M27">
        <f t="shared" si="2"/>
        <v>5</v>
      </c>
      <c r="N27">
        <f t="shared" si="3"/>
        <v>8.9</v>
      </c>
      <c r="O27" t="str">
        <f t="shared" si="4"/>
        <v>5' 8.9"</v>
      </c>
      <c r="P27">
        <f t="shared" si="5"/>
        <v>322</v>
      </c>
      <c r="Q27">
        <f t="shared" si="6"/>
        <v>38</v>
      </c>
      <c r="R27">
        <f t="shared" si="6"/>
        <v>31</v>
      </c>
      <c r="S27">
        <f t="shared" si="6"/>
        <v>18</v>
      </c>
      <c r="T27">
        <f>_xlfn.XLOOKUP(A27,'January 2023 Data'!$A$4:$A$49,'January 2023 Data'!$H$4:$H$49,,0)</f>
        <v>175</v>
      </c>
      <c r="U27">
        <f t="shared" si="7"/>
        <v>0</v>
      </c>
      <c r="V27" s="22" t="s">
        <v>220</v>
      </c>
      <c r="W27" t="str">
        <f t="shared" si="8"/>
        <v>Ura, 7-6</v>
      </c>
    </row>
    <row r="28" spans="1:23" x14ac:dyDescent="0.35">
      <c r="A28" s="1" t="s">
        <v>98</v>
      </c>
      <c r="B28" s="1"/>
      <c r="C28" s="1" t="s">
        <v>150</v>
      </c>
      <c r="D28" s="1" t="s">
        <v>151</v>
      </c>
      <c r="E28" s="1" t="s">
        <v>151</v>
      </c>
      <c r="F28" s="1" t="s">
        <v>142</v>
      </c>
      <c r="G28" s="1">
        <f>_xlfn.XLOOKUP(F28,'rank lookup'!$A$1:$A$21,'rank lookup'!$B$1:$B$21,,0)</f>
        <v>12</v>
      </c>
      <c r="H28" s="1"/>
      <c r="I28" s="19">
        <v>187</v>
      </c>
      <c r="J28" s="19">
        <v>146</v>
      </c>
      <c r="K28" s="5">
        <f t="shared" si="0"/>
        <v>41.751265406502903</v>
      </c>
      <c r="L28" s="4">
        <f t="shared" si="1"/>
        <v>73.622047244094489</v>
      </c>
      <c r="M28">
        <f t="shared" si="2"/>
        <v>6</v>
      </c>
      <c r="N28">
        <f t="shared" si="3"/>
        <v>1.6</v>
      </c>
      <c r="O28" t="str">
        <f t="shared" si="4"/>
        <v>6' 1.6"</v>
      </c>
      <c r="P28">
        <f t="shared" si="5"/>
        <v>322</v>
      </c>
      <c r="Q28">
        <f t="shared" si="6"/>
        <v>16</v>
      </c>
      <c r="R28">
        <f t="shared" si="6"/>
        <v>31</v>
      </c>
      <c r="S28">
        <f t="shared" si="6"/>
        <v>35</v>
      </c>
      <c r="T28">
        <f>_xlfn.XLOOKUP(A28,'January 2023 Data'!$A$4:$A$49,'January 2023 Data'!$H$4:$H$49,,0)</f>
        <v>187</v>
      </c>
      <c r="U28">
        <f t="shared" si="7"/>
        <v>0</v>
      </c>
      <c r="V28" s="22" t="s">
        <v>224</v>
      </c>
      <c r="W28" t="str">
        <f t="shared" si="8"/>
        <v>Ichiyamamoto, 4-9</v>
      </c>
    </row>
    <row r="29" spans="1:23" ht="25" x14ac:dyDescent="0.35">
      <c r="A29" s="1" t="s">
        <v>91</v>
      </c>
      <c r="B29" s="1"/>
      <c r="C29" s="1" t="s">
        <v>135</v>
      </c>
      <c r="D29" s="1" t="s">
        <v>145</v>
      </c>
      <c r="E29" s="1" t="s">
        <v>145</v>
      </c>
      <c r="F29" s="1" t="s">
        <v>143</v>
      </c>
      <c r="G29" s="1">
        <f>_xlfn.XLOOKUP(F29,'rank lookup'!$A$1:$A$21,'rank lookup'!$B$1:$B$21,,0)</f>
        <v>13</v>
      </c>
      <c r="H29" s="1" t="s">
        <v>208</v>
      </c>
      <c r="I29" s="19">
        <v>191</v>
      </c>
      <c r="J29" s="19">
        <v>189</v>
      </c>
      <c r="K29" s="5">
        <f t="shared" si="0"/>
        <v>51.80779035662399</v>
      </c>
      <c r="L29" s="4">
        <f t="shared" si="1"/>
        <v>75.196850393700785</v>
      </c>
      <c r="M29">
        <f t="shared" si="2"/>
        <v>6</v>
      </c>
      <c r="N29">
        <f t="shared" si="3"/>
        <v>3.2</v>
      </c>
      <c r="O29" t="str">
        <f t="shared" si="4"/>
        <v>6' 3.2"</v>
      </c>
      <c r="P29">
        <f t="shared" si="5"/>
        <v>417</v>
      </c>
      <c r="Q29">
        <f t="shared" si="6"/>
        <v>6</v>
      </c>
      <c r="R29">
        <f t="shared" si="6"/>
        <v>3</v>
      </c>
      <c r="S29">
        <f t="shared" si="6"/>
        <v>8</v>
      </c>
      <c r="T29">
        <f>_xlfn.XLOOKUP(A29,'January 2023 Data'!$A$4:$A$49,'January 2023 Data'!$H$4:$H$49,,0)</f>
        <v>190</v>
      </c>
      <c r="U29">
        <f t="shared" si="7"/>
        <v>1</v>
      </c>
      <c r="V29" s="22" t="s">
        <v>228</v>
      </c>
      <c r="W29" t="str">
        <f t="shared" si="8"/>
        <v>Aoiyama, 5-8</v>
      </c>
    </row>
    <row r="30" spans="1:23" ht="25" x14ac:dyDescent="0.35">
      <c r="A30" t="s">
        <v>155</v>
      </c>
      <c r="C30" s="1" t="s">
        <v>154</v>
      </c>
      <c r="D30" s="1" t="s">
        <v>154</v>
      </c>
      <c r="E30" s="1" t="s">
        <v>145</v>
      </c>
      <c r="F30" s="1" t="s">
        <v>143</v>
      </c>
      <c r="G30" s="1">
        <f>_xlfn.XLOOKUP(F30,'rank lookup'!$A$1:$A$21,'rank lookup'!$B$1:$B$21,,0)</f>
        <v>13</v>
      </c>
      <c r="H30" s="1" t="s">
        <v>203</v>
      </c>
      <c r="I30" s="19">
        <v>177</v>
      </c>
      <c r="J30" s="19">
        <v>135</v>
      </c>
      <c r="K30" s="5">
        <f t="shared" si="0"/>
        <v>43.091065785693765</v>
      </c>
      <c r="L30" s="4">
        <f t="shared" si="1"/>
        <v>69.685039370078741</v>
      </c>
      <c r="M30">
        <f t="shared" si="2"/>
        <v>5</v>
      </c>
      <c r="N30">
        <f t="shared" si="3"/>
        <v>9.6999999999999993</v>
      </c>
      <c r="O30" t="str">
        <f t="shared" si="4"/>
        <v>5' 9.7"</v>
      </c>
      <c r="P30">
        <f t="shared" si="5"/>
        <v>298</v>
      </c>
      <c r="Q30">
        <f t="shared" si="6"/>
        <v>35</v>
      </c>
      <c r="R30">
        <f t="shared" si="6"/>
        <v>38</v>
      </c>
      <c r="S30">
        <f t="shared" si="6"/>
        <v>31</v>
      </c>
      <c r="T30">
        <f>_xlfn.XLOOKUP(A30,'January 2023 Data'!$A$4:$A$49,'January 2023 Data'!$H$4:$H$49,,0)</f>
        <v>178</v>
      </c>
      <c r="U30">
        <f t="shared" si="7"/>
        <v>-1</v>
      </c>
      <c r="V30" s="22" t="s">
        <v>229</v>
      </c>
      <c r="W30" t="str">
        <f t="shared" si="8"/>
        <v>Hiradoumi, 6-7</v>
      </c>
    </row>
    <row r="31" spans="1:23" x14ac:dyDescent="0.35">
      <c r="A31" t="s">
        <v>144</v>
      </c>
      <c r="C31" s="1" t="s">
        <v>145</v>
      </c>
      <c r="D31" s="1" t="s">
        <v>140</v>
      </c>
      <c r="E31" s="1" t="s">
        <v>139</v>
      </c>
      <c r="F31" s="1" t="s">
        <v>145</v>
      </c>
      <c r="G31" s="1">
        <f>_xlfn.XLOOKUP(F31,'rank lookup'!$A$1:$A$21,'rank lookup'!$B$1:$B$21,,0)</f>
        <v>14</v>
      </c>
      <c r="H31" s="1"/>
      <c r="I31" s="19">
        <v>184</v>
      </c>
      <c r="J31" s="19">
        <v>150</v>
      </c>
      <c r="K31" s="5">
        <f t="shared" si="0"/>
        <v>44.305293005671075</v>
      </c>
      <c r="L31" s="4">
        <f t="shared" si="1"/>
        <v>72.440944881889763</v>
      </c>
      <c r="M31">
        <f t="shared" si="2"/>
        <v>6</v>
      </c>
      <c r="N31">
        <f t="shared" si="3"/>
        <v>0.4</v>
      </c>
      <c r="O31" t="str">
        <f t="shared" si="4"/>
        <v>6' 0.4"</v>
      </c>
      <c r="P31">
        <f t="shared" si="5"/>
        <v>331</v>
      </c>
      <c r="Q31">
        <f t="shared" si="6"/>
        <v>24</v>
      </c>
      <c r="R31">
        <f t="shared" si="6"/>
        <v>29</v>
      </c>
      <c r="S31">
        <f t="shared" si="6"/>
        <v>25</v>
      </c>
      <c r="T31">
        <f>_xlfn.XLOOKUP(A31,'January 2023 Data'!$A$4:$A$49,'January 2023 Data'!$H$4:$H$49,,0)</f>
        <v>184</v>
      </c>
      <c r="U31">
        <f t="shared" si="7"/>
        <v>0</v>
      </c>
      <c r="V31" s="22" t="s">
        <v>225</v>
      </c>
      <c r="W31" t="str">
        <f t="shared" si="8"/>
        <v>Nishikifuji, 8-5</v>
      </c>
    </row>
    <row r="32" spans="1:23" ht="25" x14ac:dyDescent="0.35">
      <c r="A32" s="1" t="s">
        <v>97</v>
      </c>
      <c r="B32" s="1"/>
      <c r="C32" s="1" t="s">
        <v>143</v>
      </c>
      <c r="D32" s="1" t="s">
        <v>135</v>
      </c>
      <c r="E32" s="1" t="s">
        <v>141</v>
      </c>
      <c r="F32" s="1" t="s">
        <v>145</v>
      </c>
      <c r="G32" s="1">
        <f>_xlfn.XLOOKUP(F32,'rank lookup'!$A$1:$A$21,'rank lookup'!$B$1:$B$21,,0)</f>
        <v>14</v>
      </c>
      <c r="H32" s="1" t="s">
        <v>207</v>
      </c>
      <c r="I32" s="19">
        <v>188</v>
      </c>
      <c r="J32" s="19">
        <v>156</v>
      </c>
      <c r="K32" s="5">
        <f t="shared" si="0"/>
        <v>44.137618832050705</v>
      </c>
      <c r="L32" s="4">
        <f t="shared" si="1"/>
        <v>74.015748031496059</v>
      </c>
      <c r="M32">
        <f t="shared" si="2"/>
        <v>6</v>
      </c>
      <c r="N32">
        <f t="shared" si="3"/>
        <v>2</v>
      </c>
      <c r="O32" t="str">
        <f t="shared" si="4"/>
        <v>6' 2"</v>
      </c>
      <c r="P32">
        <f t="shared" si="5"/>
        <v>344</v>
      </c>
      <c r="Q32">
        <f t="shared" si="6"/>
        <v>12</v>
      </c>
      <c r="R32">
        <f t="shared" si="6"/>
        <v>24</v>
      </c>
      <c r="S32">
        <f t="shared" si="6"/>
        <v>27</v>
      </c>
      <c r="T32">
        <f>_xlfn.XLOOKUP(A32,'January 2023 Data'!$A$4:$A$49,'January 2023 Data'!$H$4:$H$49,,0)</f>
        <v>189</v>
      </c>
      <c r="U32">
        <f t="shared" si="7"/>
        <v>-1</v>
      </c>
      <c r="V32" s="22" t="s">
        <v>228</v>
      </c>
      <c r="W32" t="str">
        <f t="shared" si="8"/>
        <v>Myogiryu, 5-8</v>
      </c>
    </row>
    <row r="33" spans="1:23" ht="25" x14ac:dyDescent="0.35">
      <c r="A33" s="1" t="s">
        <v>101</v>
      </c>
      <c r="B33" s="1"/>
      <c r="C33" s="1" t="s">
        <v>145</v>
      </c>
      <c r="D33" s="1" t="s">
        <v>143</v>
      </c>
      <c r="E33" s="1" t="s">
        <v>143</v>
      </c>
      <c r="F33" s="1" t="s">
        <v>147</v>
      </c>
      <c r="G33" s="1">
        <f>_xlfn.XLOOKUP(F33,'rank lookup'!$A$1:$A$21,'rank lookup'!$B$1:$B$21,,0)</f>
        <v>15</v>
      </c>
      <c r="H33" s="1" t="s">
        <v>209</v>
      </c>
      <c r="I33" s="19">
        <v>183</v>
      </c>
      <c r="J33" s="19">
        <v>165</v>
      </c>
      <c r="K33" s="5">
        <f t="shared" si="0"/>
        <v>49.269909522529787</v>
      </c>
      <c r="L33" s="4">
        <f t="shared" si="1"/>
        <v>72.047244094488192</v>
      </c>
      <c r="M33">
        <f t="shared" si="2"/>
        <v>6</v>
      </c>
      <c r="N33">
        <f t="shared" si="3"/>
        <v>0</v>
      </c>
      <c r="O33" t="str">
        <f t="shared" si="4"/>
        <v>6' 0"</v>
      </c>
      <c r="P33">
        <f t="shared" si="5"/>
        <v>364</v>
      </c>
      <c r="Q33">
        <f t="shared" si="6"/>
        <v>29</v>
      </c>
      <c r="R33">
        <f t="shared" si="6"/>
        <v>16</v>
      </c>
      <c r="S33">
        <f t="shared" si="6"/>
        <v>14</v>
      </c>
      <c r="T33">
        <f>_xlfn.XLOOKUP(A33,'January 2023 Data'!$A$4:$A$49,'January 2023 Data'!$H$4:$H$49,,0)</f>
        <v>184</v>
      </c>
      <c r="U33">
        <f t="shared" si="7"/>
        <v>-1</v>
      </c>
      <c r="V33" s="22" t="s">
        <v>220</v>
      </c>
      <c r="W33" t="str">
        <f t="shared" si="8"/>
        <v>Takanosho, 7-6</v>
      </c>
    </row>
    <row r="34" spans="1:23" ht="25" x14ac:dyDescent="0.35">
      <c r="A34" s="1" t="s">
        <v>166</v>
      </c>
      <c r="D34" t="s">
        <v>151</v>
      </c>
      <c r="E34" s="1" t="s">
        <v>151</v>
      </c>
      <c r="F34" s="1" t="s">
        <v>147</v>
      </c>
      <c r="G34" s="1">
        <f>_xlfn.XLOOKUP(F34,'rank lookup'!$A$1:$A$21,'rank lookup'!$B$1:$B$21,,0)</f>
        <v>15</v>
      </c>
      <c r="H34" s="1" t="s">
        <v>210</v>
      </c>
      <c r="I34" s="19">
        <v>192</v>
      </c>
      <c r="J34" s="19">
        <v>159</v>
      </c>
      <c r="K34" s="5">
        <f t="shared" si="0"/>
        <v>43.131510416666671</v>
      </c>
      <c r="L34" s="4">
        <f t="shared" si="1"/>
        <v>75.59055118110237</v>
      </c>
      <c r="M34">
        <f t="shared" si="2"/>
        <v>6</v>
      </c>
      <c r="N34">
        <f t="shared" si="3"/>
        <v>3.6</v>
      </c>
      <c r="O34" t="str">
        <f t="shared" si="4"/>
        <v>6' 3.6"</v>
      </c>
      <c r="P34">
        <f t="shared" si="5"/>
        <v>351</v>
      </c>
      <c r="Q34">
        <f t="shared" si="6"/>
        <v>3</v>
      </c>
      <c r="R34">
        <f t="shared" si="6"/>
        <v>22</v>
      </c>
      <c r="S34">
        <f t="shared" si="6"/>
        <v>30</v>
      </c>
      <c r="T34">
        <f>_xlfn.XLOOKUP(A34,'January 2023 Data'!$A$4:$A$49,'January 2023 Data'!$H$4:$H$49,,0)</f>
        <v>191</v>
      </c>
      <c r="U34">
        <f t="shared" si="7"/>
        <v>1</v>
      </c>
      <c r="V34" s="22" t="s">
        <v>226</v>
      </c>
      <c r="W34" t="str">
        <f t="shared" si="8"/>
        <v>Azumaryu, 3-10</v>
      </c>
    </row>
    <row r="35" spans="1:23" x14ac:dyDescent="0.35">
      <c r="A35" s="1" t="s">
        <v>167</v>
      </c>
      <c r="D35" t="s">
        <v>152</v>
      </c>
      <c r="E35" t="s">
        <v>148</v>
      </c>
      <c r="F35" t="s">
        <v>148</v>
      </c>
      <c r="G35" s="1">
        <f>_xlfn.XLOOKUP(F35,'rank lookup'!$A$1:$A$21,'rank lookup'!$B$1:$B$21,,0)</f>
        <v>16</v>
      </c>
      <c r="I35" s="19">
        <v>193</v>
      </c>
      <c r="J35" s="19">
        <v>156</v>
      </c>
      <c r="K35" s="5">
        <f t="shared" si="0"/>
        <v>41.880318934736501</v>
      </c>
      <c r="L35" s="4">
        <f t="shared" si="1"/>
        <v>75.984251968503941</v>
      </c>
      <c r="M35">
        <f t="shared" si="2"/>
        <v>6</v>
      </c>
      <c r="N35">
        <f t="shared" si="3"/>
        <v>4</v>
      </c>
      <c r="O35" t="str">
        <f t="shared" si="4"/>
        <v>6' 4"</v>
      </c>
      <c r="P35">
        <f t="shared" si="5"/>
        <v>344</v>
      </c>
      <c r="Q35">
        <f t="shared" si="6"/>
        <v>2</v>
      </c>
      <c r="R35">
        <f t="shared" si="6"/>
        <v>24</v>
      </c>
      <c r="S35">
        <f t="shared" si="6"/>
        <v>34</v>
      </c>
      <c r="T35">
        <f>_xlfn.XLOOKUP(A35,'January 2023 Data'!$A$4:$A$49,'January 2023 Data'!$H$4:$H$49,,0)</f>
        <v>193</v>
      </c>
      <c r="U35">
        <f t="shared" si="7"/>
        <v>0</v>
      </c>
      <c r="V35" s="22" t="s">
        <v>228</v>
      </c>
      <c r="W35" t="str">
        <f t="shared" si="8"/>
        <v>Kagayaki, 5-8</v>
      </c>
    </row>
    <row r="36" spans="1:23" x14ac:dyDescent="0.35">
      <c r="A36" s="1" t="s">
        <v>104</v>
      </c>
      <c r="B36" s="1"/>
      <c r="C36" s="1" t="s">
        <v>140</v>
      </c>
      <c r="D36" s="1" t="s">
        <v>142</v>
      </c>
      <c r="E36" s="1" t="s">
        <v>154</v>
      </c>
      <c r="F36" s="1" t="s">
        <v>148</v>
      </c>
      <c r="G36" s="1">
        <f>_xlfn.XLOOKUP(F36,'rank lookup'!$A$1:$A$21,'rank lookup'!$B$1:$B$21,,0)</f>
        <v>16</v>
      </c>
      <c r="H36" s="1"/>
      <c r="I36" s="19">
        <v>186</v>
      </c>
      <c r="J36" s="19">
        <v>171</v>
      </c>
      <c r="K36" s="5">
        <f t="shared" ref="K36:K53" si="10">J36/(I36*I36)*10000</f>
        <v>49.427679500520291</v>
      </c>
      <c r="L36" s="4">
        <f t="shared" ref="L36:L53" si="11">CONVERT(I36,"cm","in")</f>
        <v>73.228346456692918</v>
      </c>
      <c r="M36">
        <f t="shared" ref="M36:M53" si="12">_xlfn.FLOOR.MATH(L36/12)</f>
        <v>6</v>
      </c>
      <c r="N36">
        <f t="shared" ref="N36:N53" si="13">ROUND(L36-M36*12,1)</f>
        <v>1.2</v>
      </c>
      <c r="O36" t="str">
        <f t="shared" ref="O36:O53" si="14">M36&amp;"' "&amp;N36&amp;""""</f>
        <v>6' 1.2"</v>
      </c>
      <c r="P36">
        <f t="shared" ref="P36:P53" si="15">ROUND(CONVERT(J36,"kg","lbm"),0)</f>
        <v>377</v>
      </c>
      <c r="Q36">
        <f t="shared" si="6"/>
        <v>18</v>
      </c>
      <c r="R36">
        <f t="shared" si="6"/>
        <v>13</v>
      </c>
      <c r="S36">
        <f t="shared" si="6"/>
        <v>12</v>
      </c>
      <c r="T36">
        <f>_xlfn.XLOOKUP(A36,'January 2023 Data'!$A$4:$A$49,'January 2023 Data'!$H$4:$H$49,,0)</f>
        <v>186</v>
      </c>
      <c r="U36">
        <f t="shared" si="7"/>
        <v>0</v>
      </c>
      <c r="V36" s="22" t="s">
        <v>229</v>
      </c>
      <c r="W36" t="str">
        <f t="shared" si="8"/>
        <v>Takarafuji, 6-7</v>
      </c>
    </row>
    <row r="37" spans="1:23" x14ac:dyDescent="0.35">
      <c r="A37" s="1" t="s">
        <v>122</v>
      </c>
      <c r="B37" s="1"/>
      <c r="C37" s="1" t="s">
        <v>143</v>
      </c>
      <c r="D37" s="1" t="s">
        <v>148</v>
      </c>
      <c r="E37" s="1" t="s">
        <v>150</v>
      </c>
      <c r="F37" s="1" t="s">
        <v>150</v>
      </c>
      <c r="G37" s="1">
        <f>_xlfn.XLOOKUP(F37,'rank lookup'!$A$1:$A$21,'rank lookup'!$B$1:$B$21,,0)</f>
        <v>17</v>
      </c>
      <c r="H37" s="1"/>
      <c r="I37" s="19">
        <v>176</v>
      </c>
      <c r="J37" s="19">
        <v>129</v>
      </c>
      <c r="K37" s="5">
        <f t="shared" si="10"/>
        <v>41.645144628099175</v>
      </c>
      <c r="L37" s="4">
        <f t="shared" si="11"/>
        <v>69.29133858267717</v>
      </c>
      <c r="M37">
        <f t="shared" si="12"/>
        <v>5</v>
      </c>
      <c r="N37">
        <f t="shared" si="13"/>
        <v>9.3000000000000007</v>
      </c>
      <c r="O37" t="str">
        <f t="shared" si="14"/>
        <v>5' 9.3"</v>
      </c>
      <c r="P37">
        <f t="shared" si="15"/>
        <v>284</v>
      </c>
      <c r="Q37">
        <f t="shared" si="6"/>
        <v>37</v>
      </c>
      <c r="R37">
        <f t="shared" si="6"/>
        <v>41</v>
      </c>
      <c r="S37">
        <f t="shared" si="6"/>
        <v>36</v>
      </c>
      <c r="T37">
        <f>_xlfn.XLOOKUP(A37,'January 2023 Data'!$A$4:$A$49,'January 2023 Data'!$H$4:$H$49,,0)</f>
        <v>176</v>
      </c>
      <c r="U37">
        <f t="shared" si="7"/>
        <v>0</v>
      </c>
      <c r="V37" s="22" t="s">
        <v>225</v>
      </c>
      <c r="W37" t="str">
        <f t="shared" si="8"/>
        <v>Kotoeko, 8-5</v>
      </c>
    </row>
    <row r="38" spans="1:23" x14ac:dyDescent="0.35">
      <c r="A38" s="1" t="s">
        <v>188</v>
      </c>
      <c r="F38" t="s">
        <v>150</v>
      </c>
      <c r="G38" s="1">
        <f>_xlfn.XLOOKUP(F38,'rank lookup'!$A$1:$A$21,'rank lookup'!$B$1:$B$21,,0)</f>
        <v>17</v>
      </c>
      <c r="I38" s="19">
        <v>185</v>
      </c>
      <c r="J38" s="19">
        <v>189</v>
      </c>
      <c r="K38" s="5">
        <f t="shared" si="10"/>
        <v>55.22279035792549</v>
      </c>
      <c r="L38" s="4">
        <f t="shared" si="11"/>
        <v>72.834645669291348</v>
      </c>
      <c r="M38">
        <f t="shared" si="12"/>
        <v>6</v>
      </c>
      <c r="N38">
        <f t="shared" si="13"/>
        <v>0.8</v>
      </c>
      <c r="O38" t="str">
        <f t="shared" si="14"/>
        <v>6' 0.8"</v>
      </c>
      <c r="P38">
        <f t="shared" si="15"/>
        <v>417</v>
      </c>
      <c r="Q38">
        <f t="shared" si="6"/>
        <v>21</v>
      </c>
      <c r="R38">
        <f t="shared" si="6"/>
        <v>3</v>
      </c>
      <c r="S38">
        <f t="shared" si="6"/>
        <v>3</v>
      </c>
      <c r="T38" t="e">
        <f>_xlfn.XLOOKUP(A38,'January 2023 Data'!$A$4:$A$49,'January 2023 Data'!$H$4:$H$49,,0)</f>
        <v>#N/A</v>
      </c>
      <c r="U38" t="e">
        <f t="shared" si="7"/>
        <v>#N/A</v>
      </c>
      <c r="V38" s="22" t="s">
        <v>225</v>
      </c>
      <c r="W38" t="str">
        <f t="shared" si="8"/>
        <v>Daishoho, 8-5</v>
      </c>
    </row>
    <row r="39" spans="1:23" x14ac:dyDescent="0.35">
      <c r="A39" s="1" t="s">
        <v>189</v>
      </c>
      <c r="F39" t="s">
        <v>151</v>
      </c>
      <c r="G39" s="1">
        <f>_xlfn.XLOOKUP(F39,'rank lookup'!$A$1:$A$21,'rank lookup'!$B$1:$B$21,,0)</f>
        <v>18</v>
      </c>
      <c r="I39" s="19">
        <v>192</v>
      </c>
      <c r="J39" s="19">
        <v>174</v>
      </c>
      <c r="K39" s="5">
        <f t="shared" si="10"/>
        <v>47.200520833333329</v>
      </c>
      <c r="L39" s="4">
        <f t="shared" si="11"/>
        <v>75.59055118110237</v>
      </c>
      <c r="M39">
        <f t="shared" si="12"/>
        <v>6</v>
      </c>
      <c r="N39">
        <f t="shared" si="13"/>
        <v>3.6</v>
      </c>
      <c r="O39" t="str">
        <f t="shared" si="14"/>
        <v>6' 3.6"</v>
      </c>
      <c r="P39">
        <f t="shared" si="15"/>
        <v>384</v>
      </c>
      <c r="Q39">
        <f t="shared" si="6"/>
        <v>3</v>
      </c>
      <c r="R39">
        <f t="shared" si="6"/>
        <v>10</v>
      </c>
      <c r="S39">
        <f t="shared" si="6"/>
        <v>21</v>
      </c>
      <c r="T39" t="e">
        <f>_xlfn.XLOOKUP(A39,'January 2023 Data'!$A$4:$A$49,'January 2023 Data'!$H$4:$H$49,,0)</f>
        <v>#N/A</v>
      </c>
      <c r="U39" t="e">
        <f t="shared" si="7"/>
        <v>#N/A</v>
      </c>
      <c r="V39" s="22" t="s">
        <v>221</v>
      </c>
      <c r="W39" t="str">
        <f t="shared" si="8"/>
        <v>Kinbozan, 9-4</v>
      </c>
    </row>
    <row r="40" spans="1:23" x14ac:dyDescent="0.35">
      <c r="A40" s="1" t="s">
        <v>190</v>
      </c>
      <c r="F40" t="s">
        <v>151</v>
      </c>
      <c r="G40" s="1">
        <f>_xlfn.XLOOKUP(F40,'rank lookup'!$A$1:$A$21,'rank lookup'!$B$1:$B$21,,0)</f>
        <v>18</v>
      </c>
      <c r="I40" s="19">
        <v>171</v>
      </c>
      <c r="J40" s="19">
        <v>171</v>
      </c>
      <c r="K40" s="5">
        <f t="shared" si="10"/>
        <v>58.479532163742689</v>
      </c>
      <c r="L40" s="4">
        <f t="shared" si="11"/>
        <v>67.322834645669289</v>
      </c>
      <c r="M40">
        <f t="shared" si="12"/>
        <v>5</v>
      </c>
      <c r="N40">
        <f t="shared" si="13"/>
        <v>7.3</v>
      </c>
      <c r="O40" t="str">
        <f t="shared" si="14"/>
        <v>5' 7.3"</v>
      </c>
      <c r="P40">
        <f t="shared" si="15"/>
        <v>377</v>
      </c>
      <c r="Q40">
        <f t="shared" si="6"/>
        <v>41</v>
      </c>
      <c r="R40">
        <f t="shared" si="6"/>
        <v>13</v>
      </c>
      <c r="S40">
        <f t="shared" si="6"/>
        <v>1</v>
      </c>
      <c r="T40" t="e">
        <f>_xlfn.XLOOKUP(A40,'January 2023 Data'!$A$4:$A$49,'January 2023 Data'!$H$4:$H$49,,0)</f>
        <v>#N/A</v>
      </c>
      <c r="U40" t="e">
        <f t="shared" si="7"/>
        <v>#N/A</v>
      </c>
      <c r="V40" s="22" t="s">
        <v>224</v>
      </c>
      <c r="W40" t="str">
        <f t="shared" si="8"/>
        <v>Bushozan, 4-9</v>
      </c>
    </row>
    <row r="41" spans="1:23" ht="25" x14ac:dyDescent="0.35">
      <c r="A41" s="1" t="s">
        <v>88</v>
      </c>
      <c r="B41" s="1"/>
      <c r="C41" s="1" t="s">
        <v>150</v>
      </c>
      <c r="D41" s="1" t="s">
        <v>150</v>
      </c>
      <c r="E41" s="1" t="s">
        <v>142</v>
      </c>
      <c r="F41" s="1" t="s">
        <v>152</v>
      </c>
      <c r="G41" s="1">
        <f>_xlfn.XLOOKUP(F41,'rank lookup'!$A$1:$A$21,'rank lookup'!$B$1:$B$21,,0)</f>
        <v>19</v>
      </c>
      <c r="H41" s="1" t="s">
        <v>211</v>
      </c>
      <c r="I41" s="19">
        <v>190</v>
      </c>
      <c r="J41" s="19">
        <v>178</v>
      </c>
      <c r="K41" s="5">
        <f t="shared" si="10"/>
        <v>49.307479224376735</v>
      </c>
      <c r="L41" s="4">
        <f t="shared" si="11"/>
        <v>74.803149606299215</v>
      </c>
      <c r="M41">
        <f t="shared" si="12"/>
        <v>6</v>
      </c>
      <c r="N41">
        <f t="shared" si="13"/>
        <v>2.8</v>
      </c>
      <c r="O41" t="str">
        <f t="shared" si="14"/>
        <v>6' 2.8"</v>
      </c>
      <c r="P41">
        <f t="shared" si="15"/>
        <v>392</v>
      </c>
      <c r="Q41">
        <f t="shared" si="6"/>
        <v>8</v>
      </c>
      <c r="R41">
        <f t="shared" si="6"/>
        <v>6</v>
      </c>
      <c r="S41">
        <f t="shared" si="6"/>
        <v>13</v>
      </c>
      <c r="T41">
        <f>_xlfn.XLOOKUP(A41,'January 2023 Data'!$A$4:$A$49,'January 2023 Data'!$H$4:$H$49,,0)</f>
        <v>189</v>
      </c>
      <c r="U41">
        <f t="shared" si="7"/>
        <v>1</v>
      </c>
      <c r="V41" s="22" t="s">
        <v>229</v>
      </c>
      <c r="W41" t="str">
        <f t="shared" si="8"/>
        <v>Oho, 6-7</v>
      </c>
    </row>
    <row r="42" spans="1:23" x14ac:dyDescent="0.35">
      <c r="A42" s="1" t="s">
        <v>191</v>
      </c>
      <c r="F42" t="s">
        <v>152</v>
      </c>
      <c r="G42" s="1">
        <f>_xlfn.XLOOKUP(F42,'rank lookup'!$A$1:$A$21,'rank lookup'!$B$1:$B$21,,0)</f>
        <v>19</v>
      </c>
      <c r="I42" s="19">
        <v>204</v>
      </c>
      <c r="J42" s="19">
        <v>177</v>
      </c>
      <c r="K42" s="5">
        <f t="shared" si="10"/>
        <v>42.531718569780857</v>
      </c>
      <c r="L42" s="4">
        <f t="shared" si="11"/>
        <v>80.314960629921259</v>
      </c>
      <c r="M42">
        <f t="shared" si="12"/>
        <v>6</v>
      </c>
      <c r="N42">
        <f t="shared" si="13"/>
        <v>8.3000000000000007</v>
      </c>
      <c r="O42" t="str">
        <f t="shared" si="14"/>
        <v>6' 8.3"</v>
      </c>
      <c r="P42">
        <f t="shared" si="15"/>
        <v>390</v>
      </c>
      <c r="Q42">
        <f t="shared" si="6"/>
        <v>1</v>
      </c>
      <c r="R42">
        <f t="shared" si="6"/>
        <v>7</v>
      </c>
      <c r="S42">
        <f t="shared" si="6"/>
        <v>33</v>
      </c>
      <c r="T42" t="e">
        <f>_xlfn.XLOOKUP(A42,'January 2023 Data'!$A$4:$A$49,'January 2023 Data'!$H$4:$H$49,,0)</f>
        <v>#N/A</v>
      </c>
      <c r="U42" t="e">
        <f t="shared" si="7"/>
        <v>#N/A</v>
      </c>
      <c r="V42" s="22" t="s">
        <v>220</v>
      </c>
      <c r="W42" t="str">
        <f t="shared" si="8"/>
        <v>Hokuseiho, 7-6</v>
      </c>
    </row>
    <row r="43" spans="1:23" ht="25" x14ac:dyDescent="0.35">
      <c r="A43" s="1" t="s">
        <v>110</v>
      </c>
      <c r="B43" s="1"/>
      <c r="C43" s="1" t="s">
        <v>151</v>
      </c>
      <c r="D43" s="1" t="s">
        <v>145</v>
      </c>
      <c r="E43" s="1" t="s">
        <v>147</v>
      </c>
      <c r="F43" s="1" t="s">
        <v>154</v>
      </c>
      <c r="G43" s="1">
        <f>_xlfn.XLOOKUP(F43,'rank lookup'!$A$1:$A$21,'rank lookup'!$B$1:$B$21,,0)</f>
        <v>20</v>
      </c>
      <c r="H43" s="1" t="s">
        <v>205</v>
      </c>
      <c r="I43" s="19">
        <v>184</v>
      </c>
      <c r="J43" s="19">
        <v>137</v>
      </c>
      <c r="K43" s="5">
        <f t="shared" si="10"/>
        <v>40.465500945179578</v>
      </c>
      <c r="L43" s="4">
        <f t="shared" si="11"/>
        <v>72.440944881889763</v>
      </c>
      <c r="M43">
        <f t="shared" si="12"/>
        <v>6</v>
      </c>
      <c r="N43">
        <f t="shared" si="13"/>
        <v>0.4</v>
      </c>
      <c r="O43" t="str">
        <f t="shared" si="14"/>
        <v>6' 0.4"</v>
      </c>
      <c r="P43">
        <f t="shared" si="15"/>
        <v>302</v>
      </c>
      <c r="Q43">
        <f t="shared" si="6"/>
        <v>24</v>
      </c>
      <c r="R43">
        <f t="shared" si="6"/>
        <v>37</v>
      </c>
      <c r="S43">
        <f t="shared" si="6"/>
        <v>39</v>
      </c>
      <c r="T43">
        <f>_xlfn.XLOOKUP(A43,'January 2023 Data'!$A$4:$A$49,'January 2023 Data'!$H$4:$H$49,,0)</f>
        <v>183</v>
      </c>
      <c r="U43">
        <f t="shared" si="7"/>
        <v>1</v>
      </c>
      <c r="V43" s="22" t="s">
        <v>225</v>
      </c>
      <c r="W43" t="str">
        <f t="shared" si="8"/>
        <v>Chiyoshoma, 8-5</v>
      </c>
    </row>
    <row r="44" spans="1:23" ht="25" x14ac:dyDescent="0.35">
      <c r="A44" s="1" t="s">
        <v>108</v>
      </c>
      <c r="B44" s="1"/>
      <c r="C44" s="1" t="s">
        <v>152</v>
      </c>
      <c r="D44" s="1" t="s">
        <v>170</v>
      </c>
      <c r="E44" s="1" t="s">
        <v>152</v>
      </c>
      <c r="F44" s="1" t="s">
        <v>154</v>
      </c>
      <c r="G44" s="1">
        <f>_xlfn.XLOOKUP(F44,'rank lookup'!$A$1:$A$21,'rank lookup'!$B$1:$B$21,,0)</f>
        <v>20</v>
      </c>
      <c r="H44" s="1" t="s">
        <v>202</v>
      </c>
      <c r="I44" s="19">
        <v>185</v>
      </c>
      <c r="J44" s="19">
        <v>200</v>
      </c>
      <c r="K44" s="5">
        <f t="shared" si="10"/>
        <v>58.436815193571952</v>
      </c>
      <c r="L44" s="4">
        <f t="shared" si="11"/>
        <v>72.834645669291348</v>
      </c>
      <c r="M44">
        <f t="shared" si="12"/>
        <v>6</v>
      </c>
      <c r="N44">
        <f t="shared" si="13"/>
        <v>0.8</v>
      </c>
      <c r="O44" t="str">
        <f t="shared" si="14"/>
        <v>6' 0.8"</v>
      </c>
      <c r="P44">
        <f t="shared" si="15"/>
        <v>441</v>
      </c>
      <c r="Q44">
        <f t="shared" si="6"/>
        <v>21</v>
      </c>
      <c r="R44">
        <f t="shared" si="6"/>
        <v>1</v>
      </c>
      <c r="S44">
        <f t="shared" si="6"/>
        <v>2</v>
      </c>
      <c r="T44">
        <f>_xlfn.XLOOKUP(A44,'January 2023 Data'!$A$4:$A$49,'January 2023 Data'!$H$4:$H$49,,0)</f>
        <v>184</v>
      </c>
      <c r="U44">
        <f t="shared" si="7"/>
        <v>1</v>
      </c>
      <c r="V44" s="22" t="s">
        <v>220</v>
      </c>
      <c r="W44" t="str">
        <f t="shared" si="8"/>
        <v>Tsurugisho, 7-6</v>
      </c>
    </row>
    <row r="45" spans="1:23" ht="25" x14ac:dyDescent="0.35">
      <c r="A45" t="s">
        <v>153</v>
      </c>
      <c r="C45" s="1" t="s">
        <v>154</v>
      </c>
      <c r="D45" s="1" t="s">
        <v>170</v>
      </c>
      <c r="E45" s="1" t="s">
        <v>152</v>
      </c>
      <c r="F45" s="1" t="s">
        <v>186</v>
      </c>
      <c r="G45" s="1">
        <f>_xlfn.XLOOKUP(F45,'rank lookup'!$A$1:$A$21,'rank lookup'!$B$1:$B$21,,0)</f>
        <v>21</v>
      </c>
      <c r="H45" s="1" t="s">
        <v>212</v>
      </c>
      <c r="I45" s="19">
        <v>189</v>
      </c>
      <c r="J45" s="19">
        <v>194</v>
      </c>
      <c r="K45" s="5">
        <f t="shared" si="10"/>
        <v>54.309789759525202</v>
      </c>
      <c r="L45" s="4">
        <f t="shared" si="11"/>
        <v>74.409448818897644</v>
      </c>
      <c r="M45">
        <f t="shared" si="12"/>
        <v>6</v>
      </c>
      <c r="N45">
        <f t="shared" si="13"/>
        <v>2.4</v>
      </c>
      <c r="O45" t="str">
        <f t="shared" si="14"/>
        <v>6' 2.4"</v>
      </c>
      <c r="P45">
        <f t="shared" si="15"/>
        <v>428</v>
      </c>
      <c r="Q45">
        <f t="shared" si="6"/>
        <v>9</v>
      </c>
      <c r="R45">
        <f t="shared" si="6"/>
        <v>2</v>
      </c>
      <c r="S45">
        <f t="shared" si="6"/>
        <v>4</v>
      </c>
      <c r="T45">
        <f>_xlfn.XLOOKUP(A45,'January 2023 Data'!$A$4:$A$49,'January 2023 Data'!$H$4:$H$49,,0)</f>
        <v>190</v>
      </c>
      <c r="U45">
        <f t="shared" si="7"/>
        <v>-1</v>
      </c>
      <c r="V45" s="22" t="s">
        <v>220</v>
      </c>
      <c r="W45" t="str">
        <f t="shared" si="8"/>
        <v>Mitoryu, 7-6</v>
      </c>
    </row>
    <row r="46" spans="1:23" ht="25" x14ac:dyDescent="0.35">
      <c r="A46" s="1" t="s">
        <v>89</v>
      </c>
      <c r="B46" s="1">
        <v>1</v>
      </c>
      <c r="C46" s="1" t="s">
        <v>42</v>
      </c>
      <c r="D46" s="1" t="s">
        <v>136</v>
      </c>
      <c r="E46" s="1" t="s">
        <v>135</v>
      </c>
      <c r="F46" s="1" t="s">
        <v>170</v>
      </c>
      <c r="G46" s="1" t="e">
        <f>_xlfn.XLOOKUP(F46,'rank lookup'!$A$1:$A$21,'rank lookup'!$B$1:$B$21,,0)</f>
        <v>#N/A</v>
      </c>
      <c r="H46" s="1" t="s">
        <v>208</v>
      </c>
      <c r="I46" s="19">
        <v>191</v>
      </c>
      <c r="J46" s="19">
        <v>219</v>
      </c>
      <c r="K46" s="5">
        <f t="shared" si="10"/>
        <v>60.031249143389715</v>
      </c>
      <c r="L46" s="4">
        <f t="shared" si="11"/>
        <v>75.196850393700785</v>
      </c>
      <c r="M46">
        <f t="shared" si="12"/>
        <v>6</v>
      </c>
      <c r="N46">
        <f t="shared" si="13"/>
        <v>3.2</v>
      </c>
      <c r="O46" t="str">
        <f t="shared" si="14"/>
        <v>6' 3.2"</v>
      </c>
      <c r="P46">
        <f t="shared" si="15"/>
        <v>483</v>
      </c>
      <c r="T46">
        <f>_xlfn.XLOOKUP(A46,'January 2023 Data'!$A$4:$A$49,'January 2023 Data'!$H$4:$H$49,,0)</f>
        <v>190</v>
      </c>
      <c r="U46">
        <f>I46-T46</f>
        <v>1</v>
      </c>
      <c r="W46" t="str">
        <f t="shared" si="8"/>
        <v xml:space="preserve">Ichinojo, </v>
      </c>
    </row>
    <row r="47" spans="1:23" x14ac:dyDescent="0.35">
      <c r="A47" s="1" t="s">
        <v>87</v>
      </c>
      <c r="B47" s="1">
        <v>1</v>
      </c>
      <c r="C47" s="1" t="s">
        <v>142</v>
      </c>
      <c r="D47" s="1" t="s">
        <v>142</v>
      </c>
      <c r="E47" s="1" t="s">
        <v>147</v>
      </c>
      <c r="F47" s="1" t="s">
        <v>192</v>
      </c>
      <c r="G47" s="1" t="e">
        <f>_xlfn.XLOOKUP(F47,'rank lookup'!$A$1:$A$21,'rank lookup'!$B$1:$B$21,,0)</f>
        <v>#N/A</v>
      </c>
      <c r="H47" s="1"/>
      <c r="I47" s="19">
        <v>192</v>
      </c>
      <c r="J47" s="19">
        <v>189</v>
      </c>
      <c r="K47" s="5">
        <f t="shared" si="10"/>
        <v>51.26953125</v>
      </c>
      <c r="L47" s="4">
        <f t="shared" si="11"/>
        <v>75.59055118110237</v>
      </c>
      <c r="M47">
        <f t="shared" si="12"/>
        <v>6</v>
      </c>
      <c r="N47">
        <f t="shared" si="13"/>
        <v>3.6</v>
      </c>
      <c r="O47" t="str">
        <f t="shared" si="14"/>
        <v>6' 3.6"</v>
      </c>
      <c r="P47">
        <f t="shared" si="15"/>
        <v>417</v>
      </c>
      <c r="T47">
        <f>_xlfn.XLOOKUP(A47,'January 2023 Data'!$A$4:$A$49,'January 2023 Data'!$H$4:$H$49,,0)</f>
        <v>192</v>
      </c>
      <c r="U47">
        <f t="shared" si="7"/>
        <v>0</v>
      </c>
      <c r="W47" t="str">
        <f t="shared" si="8"/>
        <v xml:space="preserve">Tochinoshin, </v>
      </c>
    </row>
    <row r="48" spans="1:23" x14ac:dyDescent="0.35">
      <c r="A48" s="1" t="s">
        <v>90</v>
      </c>
      <c r="B48" s="1"/>
      <c r="C48" s="1" t="s">
        <v>148</v>
      </c>
      <c r="D48" s="1" t="s">
        <v>150</v>
      </c>
      <c r="E48" s="1" t="s">
        <v>148</v>
      </c>
      <c r="F48" s="1" t="s">
        <v>179</v>
      </c>
      <c r="G48" s="1" t="e">
        <f>_xlfn.XLOOKUP(F48,'rank lookup'!$A$1:$A$21,'rank lookup'!$B$1:$B$21,,0)</f>
        <v>#N/A</v>
      </c>
      <c r="H48" s="1" t="s">
        <v>193</v>
      </c>
      <c r="I48" s="19">
        <v>189</v>
      </c>
      <c r="J48" s="19">
        <v>161</v>
      </c>
      <c r="K48" s="5">
        <f t="shared" si="10"/>
        <v>45.071526553008034</v>
      </c>
      <c r="L48" s="4">
        <f t="shared" si="11"/>
        <v>74.409448818897644</v>
      </c>
      <c r="M48">
        <f t="shared" si="12"/>
        <v>6</v>
      </c>
      <c r="N48">
        <f t="shared" si="13"/>
        <v>2.4</v>
      </c>
      <c r="O48" t="str">
        <f t="shared" si="14"/>
        <v>6' 2.4"</v>
      </c>
      <c r="P48">
        <f t="shared" si="15"/>
        <v>355</v>
      </c>
      <c r="T48">
        <f>_xlfn.XLOOKUP(A48,'January 2023 Data'!$A$4:$A$49,'January 2023 Data'!$H$4:$H$49,,0)</f>
        <v>189</v>
      </c>
      <c r="U48">
        <f t="shared" si="7"/>
        <v>0</v>
      </c>
      <c r="W48" t="str">
        <f t="shared" si="8"/>
        <v xml:space="preserve">Okinoumi, </v>
      </c>
    </row>
    <row r="49" spans="1:23" ht="25" x14ac:dyDescent="0.35">
      <c r="A49" t="s">
        <v>119</v>
      </c>
      <c r="E49" s="1" t="s">
        <v>154</v>
      </c>
      <c r="F49" s="1" t="s">
        <v>169</v>
      </c>
      <c r="G49" s="1" t="e">
        <f>_xlfn.XLOOKUP(F49,'rank lookup'!$A$1:$A$21,'rank lookup'!$B$1:$B$21,,0)</f>
        <v>#N/A</v>
      </c>
      <c r="H49" s="1" t="s">
        <v>213</v>
      </c>
      <c r="I49" s="19">
        <v>178</v>
      </c>
      <c r="J49" s="19">
        <v>166</v>
      </c>
      <c r="K49" s="5">
        <f t="shared" si="10"/>
        <v>52.392374700164119</v>
      </c>
      <c r="L49" s="4">
        <f t="shared" si="11"/>
        <v>70.078740157480311</v>
      </c>
      <c r="M49">
        <f t="shared" si="12"/>
        <v>5</v>
      </c>
      <c r="N49">
        <f t="shared" si="13"/>
        <v>10.1</v>
      </c>
      <c r="O49" t="str">
        <f t="shared" si="14"/>
        <v>5' 10.1"</v>
      </c>
      <c r="P49">
        <f t="shared" si="15"/>
        <v>366</v>
      </c>
      <c r="T49">
        <f>_xlfn.XLOOKUP(A49,'January 2023 Data'!$A$4:$A$49,'January 2023 Data'!$H$4:$H$49,,0)</f>
        <v>177</v>
      </c>
      <c r="U49">
        <f t="shared" si="7"/>
        <v>1</v>
      </c>
      <c r="W49" t="str">
        <f t="shared" si="8"/>
        <v xml:space="preserve">Chiyomaru, </v>
      </c>
    </row>
    <row r="50" spans="1:23" x14ac:dyDescent="0.35">
      <c r="A50" s="1" t="s">
        <v>113</v>
      </c>
      <c r="B50" s="1"/>
      <c r="C50" s="1" t="s">
        <v>147</v>
      </c>
      <c r="D50" s="1" t="s">
        <v>148</v>
      </c>
      <c r="E50" s="1" t="s">
        <v>179</v>
      </c>
      <c r="F50" s="1"/>
      <c r="G50" s="1" t="e">
        <f>_xlfn.XLOOKUP(F50,'rank lookup'!$A$1:$A$21,'rank lookup'!$B$1:$B$21,,0)</f>
        <v>#N/A</v>
      </c>
      <c r="H50" s="1"/>
      <c r="I50" s="19">
        <v>181</v>
      </c>
      <c r="J50" s="19">
        <v>189</v>
      </c>
      <c r="K50" s="5">
        <f t="shared" si="10"/>
        <v>57.690546686609082</v>
      </c>
      <c r="L50" s="4">
        <f t="shared" si="11"/>
        <v>71.259842519685037</v>
      </c>
      <c r="M50">
        <f t="shared" si="12"/>
        <v>5</v>
      </c>
      <c r="N50">
        <f t="shared" si="13"/>
        <v>11.3</v>
      </c>
      <c r="O50" t="str">
        <f t="shared" si="14"/>
        <v>5' 11.3"</v>
      </c>
      <c r="P50">
        <f t="shared" si="15"/>
        <v>417</v>
      </c>
      <c r="T50">
        <f>_xlfn.XLOOKUP(A50,'January 2023 Data'!$A$4:$A$49,'January 2023 Data'!$H$4:$H$49,,0)</f>
        <v>181</v>
      </c>
      <c r="U50">
        <f t="shared" si="7"/>
        <v>0</v>
      </c>
      <c r="W50" t="str">
        <f t="shared" si="8"/>
        <v xml:space="preserve">Chiyotairyu, </v>
      </c>
    </row>
    <row r="51" spans="1:23" x14ac:dyDescent="0.35">
      <c r="A51" s="1" t="s">
        <v>168</v>
      </c>
      <c r="D51" t="s">
        <v>152</v>
      </c>
      <c r="E51" s="1" t="s">
        <v>170</v>
      </c>
      <c r="F51" s="1" t="s">
        <v>187</v>
      </c>
      <c r="G51" s="1" t="e">
        <f>_xlfn.XLOOKUP(F51,'rank lookup'!$A$1:$A$21,'rank lookup'!$B$1:$B$21,,0)</f>
        <v>#N/A</v>
      </c>
      <c r="I51" s="19">
        <v>185</v>
      </c>
      <c r="J51" s="19">
        <v>174</v>
      </c>
      <c r="K51" s="5">
        <f t="shared" si="10"/>
        <v>50.840029218407601</v>
      </c>
      <c r="L51" s="4">
        <f t="shared" si="11"/>
        <v>72.834645669291348</v>
      </c>
      <c r="M51">
        <f t="shared" si="12"/>
        <v>6</v>
      </c>
      <c r="N51">
        <f t="shared" si="13"/>
        <v>0.8</v>
      </c>
      <c r="O51" t="str">
        <f t="shared" si="14"/>
        <v>6' 0.8"</v>
      </c>
      <c r="P51">
        <f t="shared" si="15"/>
        <v>384</v>
      </c>
      <c r="T51">
        <f>_xlfn.XLOOKUP(A51,'January 2023 Data'!$A$4:$A$49,'January 2023 Data'!$H$4:$H$49,,0)</f>
        <v>185</v>
      </c>
      <c r="U51">
        <f t="shared" si="7"/>
        <v>0</v>
      </c>
      <c r="W51" t="str">
        <f t="shared" si="8"/>
        <v xml:space="preserve">Atamifuji, </v>
      </c>
    </row>
    <row r="52" spans="1:23" x14ac:dyDescent="0.35">
      <c r="A52" s="1" t="s">
        <v>126</v>
      </c>
      <c r="B52" s="1"/>
      <c r="C52" s="1" t="s">
        <v>152</v>
      </c>
      <c r="D52" s="1" t="s">
        <v>154</v>
      </c>
      <c r="E52" s="1" t="s">
        <v>180</v>
      </c>
      <c r="F52" s="1" t="s">
        <v>194</v>
      </c>
      <c r="G52" s="1" t="e">
        <f>_xlfn.XLOOKUP(F52,'rank lookup'!$A$1:$A$21,'rank lookup'!$B$1:$B$21,,0)</f>
        <v>#N/A</v>
      </c>
      <c r="H52" s="1"/>
      <c r="I52" s="19">
        <v>169</v>
      </c>
      <c r="J52" s="19">
        <v>107</v>
      </c>
      <c r="K52" s="5">
        <f t="shared" si="10"/>
        <v>37.463674241098005</v>
      </c>
      <c r="L52" s="4">
        <f t="shared" si="11"/>
        <v>66.535433070866134</v>
      </c>
      <c r="M52">
        <f t="shared" si="12"/>
        <v>5</v>
      </c>
      <c r="N52">
        <f t="shared" si="13"/>
        <v>6.5</v>
      </c>
      <c r="O52" t="str">
        <f t="shared" si="14"/>
        <v>5' 6.5"</v>
      </c>
      <c r="P52">
        <f t="shared" si="15"/>
        <v>236</v>
      </c>
      <c r="T52">
        <f>_xlfn.XLOOKUP(A52,'January 2023 Data'!$A$4:$A$49,'January 2023 Data'!$H$4:$H$49,,0)</f>
        <v>169</v>
      </c>
      <c r="U52">
        <f t="shared" si="7"/>
        <v>0</v>
      </c>
      <c r="W52" t="str">
        <f t="shared" si="8"/>
        <v xml:space="preserve">Terutsuyoshi, </v>
      </c>
    </row>
    <row r="53" spans="1:23" x14ac:dyDescent="0.35">
      <c r="A53" s="1" t="s">
        <v>107</v>
      </c>
      <c r="B53" s="1"/>
      <c r="C53" s="1" t="s">
        <v>151</v>
      </c>
      <c r="D53" s="1" t="s">
        <v>169</v>
      </c>
      <c r="E53" s="1" t="s">
        <v>179</v>
      </c>
      <c r="F53" s="1"/>
      <c r="G53" s="1" t="e">
        <f>_xlfn.XLOOKUP(F53,'rank lookup'!$A$1:$A$21,'rank lookup'!$B$1:$B$21,,0)</f>
        <v>#N/A</v>
      </c>
      <c r="H53" s="1"/>
      <c r="I53" s="19">
        <v>185</v>
      </c>
      <c r="J53" s="19">
        <v>181</v>
      </c>
      <c r="K53" s="5">
        <f t="shared" si="10"/>
        <v>52.885317750182615</v>
      </c>
      <c r="L53" s="4">
        <f t="shared" si="11"/>
        <v>72.834645669291348</v>
      </c>
      <c r="M53">
        <f t="shared" si="12"/>
        <v>6</v>
      </c>
      <c r="N53">
        <f t="shared" si="13"/>
        <v>0.8</v>
      </c>
      <c r="O53" t="str">
        <f t="shared" si="14"/>
        <v>6' 0.8"</v>
      </c>
      <c r="P53">
        <f t="shared" si="15"/>
        <v>399</v>
      </c>
      <c r="T53">
        <f>_xlfn.XLOOKUP(A53,'January 2023 Data'!$A$4:$A$49,'January 2023 Data'!$H$4:$H$49,,0)</f>
        <v>185</v>
      </c>
      <c r="U53">
        <f t="shared" si="7"/>
        <v>0</v>
      </c>
      <c r="W53" t="str">
        <f t="shared" si="8"/>
        <v xml:space="preserve">Yutakayama, </v>
      </c>
    </row>
  </sheetData>
  <autoFilter ref="A3:P38" xr:uid="{7067DD38-AD06-4250-9520-A2F29B57D9C0}">
    <sortState xmlns:xlrd2="http://schemas.microsoft.com/office/spreadsheetml/2017/richdata2" ref="A4:P53">
      <sortCondition ref="G3:G38"/>
    </sortState>
  </autoFilter>
  <hyperlinks>
    <hyperlink ref="C2" r:id="rId1" xr:uid="{987FCF13-1964-45BC-85C8-B147D9B22A9E}"/>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Charts</vt:lpstr>
      </vt:variant>
      <vt:variant>
        <vt:i4>10</vt:i4>
      </vt:variant>
    </vt:vector>
  </HeadingPairs>
  <TitlesOfParts>
    <vt:vector size="21" baseType="lpstr">
      <vt:lpstr>September 2022 Data</vt:lpstr>
      <vt:lpstr>January 2023 Data</vt:lpstr>
      <vt:lpstr>November 2022 Data</vt:lpstr>
      <vt:lpstr>rank lookup</vt:lpstr>
      <vt:lpstr>Jan 2022 Data</vt:lpstr>
      <vt:lpstr>Jan 2022 Graph Prep</vt:lpstr>
      <vt:lpstr>Original Graph Dec 24 2021</vt:lpstr>
      <vt:lpstr>May 2023 Data</vt:lpstr>
      <vt:lpstr>March 2023 Data</vt:lpstr>
      <vt:lpstr>July 2023 Data</vt:lpstr>
      <vt:lpstr>Documentation Information</vt:lpstr>
      <vt:lpstr>Makuuchi Scatterplot Jan 2022</vt:lpstr>
      <vt:lpstr>BMI Histogram</vt:lpstr>
      <vt:lpstr>Makuuchi Sept 2022</vt:lpstr>
      <vt:lpstr>Makuuchi Nov 2022</vt:lpstr>
      <vt:lpstr>Makuuchi Nov 2022 DISPLAY</vt:lpstr>
      <vt:lpstr>Makuuchi Jan 2023</vt:lpstr>
      <vt:lpstr>Weight change Nov 22 - Jan 23</vt:lpstr>
      <vt:lpstr>Makuuchi March 2023</vt:lpstr>
      <vt:lpstr>Makuuchi May 2023</vt:lpstr>
      <vt:lpstr>Makuuchi July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2023-07-03T07:39:44Z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