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47" documentId="8_{C5DE8CF4-A4FD-46A3-A003-6EF9F85A518A}" xr6:coauthVersionLast="47" xr6:coauthVersionMax="47" xr10:uidLastSave="{5E5F8B6B-2327-4536-8BE8-051F952B3A3E}"/>
  <bookViews>
    <workbookView xWindow="-110" yWindow="-110" windowWidth="25820" windowHeight="14020" firstSheet="8" activeTab="15" xr2:uid="{F1E5599D-F05E-40F4-BE24-B0CCA4146CB8}"/>
  </bookViews>
  <sheets>
    <sheet name="Makuuchi Scatterplot Jan 2022" sheetId="4" state="hidden" r:id="rId1"/>
    <sheet name="BMI Histogram" sheetId="5" state="hidden" r:id="rId2"/>
    <sheet name="Makuuchi Sept 2022" sheetId="13" state="hidden" r:id="rId3"/>
    <sheet name="Makuuchi Nov 2022" sheetId="15" state="hidden" r:id="rId4"/>
    <sheet name="Makuuchi Nov 2022 DISPLAY" sheetId="16" state="hidden" r:id="rId5"/>
    <sheet name="September 2022 Data" sheetId="11" state="hidden" r:id="rId6"/>
    <sheet name="Makuuchi Jan 2023" sheetId="22" state="hidden" r:id="rId7"/>
    <sheet name="Weight change Nov 22 - Jan 23" sheetId="21" state="hidden" r:id="rId8"/>
    <sheet name="Makuuchi Mar 2023" sheetId="27" r:id="rId9"/>
    <sheet name="January 2023 Data" sheetId="17" state="hidden" r:id="rId10"/>
    <sheet name="November 2022 Data" sheetId="14" state="hidden" r:id="rId11"/>
    <sheet name="rank lookup" sheetId="12" state="hidden" r:id="rId12"/>
    <sheet name="Jan 2022 Data" sheetId="1" state="hidden" r:id="rId13"/>
    <sheet name="Jan 2022 Graph Prep" sheetId="6" state="hidden" r:id="rId14"/>
    <sheet name="Original Graph Dec 24 2021" sheetId="2" state="hidden" r:id="rId15"/>
    <sheet name="All wrestlers" sheetId="28" r:id="rId16"/>
    <sheet name="Leaders after Day 13" sheetId="29" r:id="rId17"/>
    <sheet name="March 2023 Data" sheetId="26" r:id="rId18"/>
    <sheet name="Documentation Information" sheetId="3" r:id="rId19"/>
  </sheets>
  <externalReferences>
    <externalReference r:id="rId20"/>
  </externalReferences>
  <definedNames>
    <definedName name="_xlnm._FilterDatabase" localSheetId="9" hidden="1">'January 2023 Data'!$A$3:$O$38</definedName>
    <definedName name="_xlnm._FilterDatabase" localSheetId="17" hidden="1">'March 2023 Data'!$A$3:$P$38</definedName>
    <definedName name="_xlnm._FilterDatabase" localSheetId="10" hidden="1">'November 2022 Data'!$A$3:$N$38</definedName>
    <definedName name="_xlnm._FilterDatabase" localSheetId="5" hidden="1">'September 2022 Data'!$A$3:$L$38</definedName>
    <definedName name="_xlchart.v1.0"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12" hidden="1">1</definedName>
    <definedName name="solver_eng" localSheetId="13" hidden="1">1</definedName>
    <definedName name="solver_eng" localSheetId="9" hidden="1">1</definedName>
    <definedName name="solver_eng" localSheetId="17" hidden="1">1</definedName>
    <definedName name="solver_eng" localSheetId="10" hidden="1">1</definedName>
    <definedName name="solver_eng" localSheetId="5" hidden="1">1</definedName>
    <definedName name="solver_neg" localSheetId="12" hidden="1">1</definedName>
    <definedName name="solver_neg" localSheetId="13" hidden="1">1</definedName>
    <definedName name="solver_neg" localSheetId="9" hidden="1">1</definedName>
    <definedName name="solver_neg" localSheetId="17" hidden="1">1</definedName>
    <definedName name="solver_neg" localSheetId="10" hidden="1">1</definedName>
    <definedName name="solver_neg" localSheetId="5" hidden="1">1</definedName>
    <definedName name="solver_num" localSheetId="12" hidden="1">0</definedName>
    <definedName name="solver_num" localSheetId="13" hidden="1">0</definedName>
    <definedName name="solver_num" localSheetId="9" hidden="1">0</definedName>
    <definedName name="solver_num" localSheetId="17" hidden="1">0</definedName>
    <definedName name="solver_num" localSheetId="10" hidden="1">0</definedName>
    <definedName name="solver_num" localSheetId="5" hidden="1">0</definedName>
    <definedName name="solver_opt" localSheetId="12" hidden="1">'Jan 2022 Data'!$D$2</definedName>
    <definedName name="solver_opt" localSheetId="13" hidden="1">'Jan 2022 Graph Prep'!$D$2</definedName>
    <definedName name="solver_opt" localSheetId="9" hidden="1">'January 2023 Data'!$H$3</definedName>
    <definedName name="solver_opt" localSheetId="17" hidden="1">'March 2023 Data'!$I$3</definedName>
    <definedName name="solver_opt" localSheetId="10" hidden="1">'November 2022 Data'!$G$3</definedName>
    <definedName name="solver_opt" localSheetId="5" hidden="1">'September 2022 Data'!$E$3</definedName>
    <definedName name="solver_typ" localSheetId="12" hidden="1">1</definedName>
    <definedName name="solver_typ" localSheetId="13" hidden="1">1</definedName>
    <definedName name="solver_typ" localSheetId="9" hidden="1">1</definedName>
    <definedName name="solver_typ" localSheetId="17" hidden="1">1</definedName>
    <definedName name="solver_typ" localSheetId="10" hidden="1">1</definedName>
    <definedName name="solver_typ" localSheetId="5" hidden="1">1</definedName>
    <definedName name="solver_val" localSheetId="12" hidden="1">0</definedName>
    <definedName name="solver_val" localSheetId="13" hidden="1">0</definedName>
    <definedName name="solver_val" localSheetId="9" hidden="1">0</definedName>
    <definedName name="solver_val" localSheetId="17" hidden="1">0</definedName>
    <definedName name="solver_val" localSheetId="10" hidden="1">0</definedName>
    <definedName name="solver_val" localSheetId="5" hidden="1">0</definedName>
    <definedName name="solver_ver" localSheetId="12" hidden="1">3</definedName>
    <definedName name="solver_ver" localSheetId="13" hidden="1">3</definedName>
    <definedName name="solver_ver" localSheetId="9" hidden="1">3</definedName>
    <definedName name="solver_ver" localSheetId="17" hidden="1">3</definedName>
    <definedName name="solver_ver" localSheetId="10" hidden="1">3</definedName>
    <definedName name="solver_ver" localSheetId="5"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5" i="26" l="1"/>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4" i="26"/>
  <c r="AA3" i="26"/>
  <c r="Z3" i="26"/>
  <c r="Y5" i="26"/>
  <c r="Y6" i="26"/>
  <c r="Y7" i="26"/>
  <c r="Y8" i="26"/>
  <c r="Y9" i="26"/>
  <c r="Y10" i="26"/>
  <c r="Y4" i="26"/>
  <c r="Y3" i="26" s="1"/>
  <c r="X4" i="26" a="1"/>
  <c r="X4" i="26"/>
  <c r="U46" i="26"/>
  <c r="U47" i="26"/>
  <c r="U48" i="26"/>
  <c r="U49" i="26"/>
  <c r="U50" i="26"/>
  <c r="U51" i="26"/>
  <c r="U52" i="26"/>
  <c r="U53" i="26"/>
  <c r="U5" i="26"/>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 i="26"/>
  <c r="T46" i="26"/>
  <c r="T47" i="26"/>
  <c r="T48" i="26"/>
  <c r="T49" i="26"/>
  <c r="T50" i="26"/>
  <c r="T51" i="26"/>
  <c r="T52" i="26"/>
  <c r="T53"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 i="26"/>
  <c r="Q4" i="26"/>
  <c r="K4" i="26"/>
  <c r="K42" i="26"/>
  <c r="P42" i="26"/>
  <c r="L42" i="26"/>
  <c r="M42" i="26"/>
  <c r="N42" i="26"/>
  <c r="O42" i="26"/>
  <c r="K40" i="26"/>
  <c r="P40" i="26"/>
  <c r="L40" i="26"/>
  <c r="M40" i="26"/>
  <c r="N40" i="26"/>
  <c r="O40" i="26"/>
  <c r="K39" i="26"/>
  <c r="P39" i="26"/>
  <c r="L39" i="26"/>
  <c r="N39" i="26" s="1"/>
  <c r="M39" i="26"/>
  <c r="K38" i="26"/>
  <c r="P38" i="26"/>
  <c r="L38" i="26"/>
  <c r="N38" i="26" s="1"/>
  <c r="O38" i="26" s="1"/>
  <c r="M38" i="26"/>
  <c r="G45" i="26"/>
  <c r="G5" i="26"/>
  <c r="G6" i="26"/>
  <c r="G7" i="26"/>
  <c r="G8" i="26"/>
  <c r="G9" i="26"/>
  <c r="G10" i="26"/>
  <c r="G11" i="26"/>
  <c r="G12" i="26"/>
  <c r="G46" i="26"/>
  <c r="G47" i="26"/>
  <c r="G48" i="26"/>
  <c r="G49" i="26"/>
  <c r="G50" i="26"/>
  <c r="G51" i="26"/>
  <c r="G52" i="26"/>
  <c r="G53" i="26"/>
  <c r="G4" i="26"/>
  <c r="P53" i="26"/>
  <c r="L53" i="26"/>
  <c r="K53" i="26"/>
  <c r="P52" i="26"/>
  <c r="L52" i="26"/>
  <c r="M52" i="26" s="1"/>
  <c r="K52" i="26"/>
  <c r="P51" i="26"/>
  <c r="L51" i="26"/>
  <c r="K51" i="26"/>
  <c r="P50" i="26"/>
  <c r="L50" i="26"/>
  <c r="K50" i="26"/>
  <c r="R45" i="26"/>
  <c r="Q45" i="26"/>
  <c r="P49" i="26"/>
  <c r="L49" i="26"/>
  <c r="M49" i="26" s="1"/>
  <c r="K49" i="26"/>
  <c r="R44" i="26"/>
  <c r="Q44" i="26"/>
  <c r="P36" i="26"/>
  <c r="L36" i="26"/>
  <c r="M36" i="26" s="1"/>
  <c r="K36" i="26"/>
  <c r="R43" i="26"/>
  <c r="Q43" i="26"/>
  <c r="P45" i="26"/>
  <c r="L45" i="26"/>
  <c r="M45" i="26" s="1"/>
  <c r="K45" i="26"/>
  <c r="R42" i="26"/>
  <c r="Q42" i="26"/>
  <c r="P44" i="26"/>
  <c r="L44" i="26"/>
  <c r="M44" i="26" s="1"/>
  <c r="K44" i="26"/>
  <c r="R41" i="26"/>
  <c r="Q41" i="26"/>
  <c r="P34" i="26"/>
  <c r="L34" i="26"/>
  <c r="M34" i="26" s="1"/>
  <c r="K34" i="26"/>
  <c r="R40" i="26"/>
  <c r="Q40" i="26"/>
  <c r="P28" i="26"/>
  <c r="L28" i="26"/>
  <c r="M28" i="26" s="1"/>
  <c r="K28" i="26"/>
  <c r="R39" i="26"/>
  <c r="Q39" i="26"/>
  <c r="P37" i="26"/>
  <c r="L37" i="26"/>
  <c r="K37" i="26"/>
  <c r="R38" i="26"/>
  <c r="Q38" i="26"/>
  <c r="P22" i="26"/>
  <c r="L22" i="26"/>
  <c r="K22" i="26"/>
  <c r="R37" i="26"/>
  <c r="Q37" i="26"/>
  <c r="P35" i="26"/>
  <c r="L35" i="26"/>
  <c r="M35" i="26" s="1"/>
  <c r="N35" i="26" s="1"/>
  <c r="O35" i="26" s="1"/>
  <c r="K35" i="26"/>
  <c r="R36" i="26"/>
  <c r="Q36" i="26"/>
  <c r="P48" i="26"/>
  <c r="L48" i="26"/>
  <c r="K48" i="26"/>
  <c r="R35" i="26"/>
  <c r="Q35" i="26"/>
  <c r="P43" i="26"/>
  <c r="L43" i="26"/>
  <c r="M43" i="26" s="1"/>
  <c r="K43" i="26"/>
  <c r="R34" i="26"/>
  <c r="Q34" i="26"/>
  <c r="P47" i="26"/>
  <c r="L47" i="26"/>
  <c r="M47" i="26" s="1"/>
  <c r="K47" i="26"/>
  <c r="R33" i="26"/>
  <c r="Q33" i="26"/>
  <c r="P30" i="26"/>
  <c r="L30" i="26"/>
  <c r="M30" i="26" s="1"/>
  <c r="K30" i="26"/>
  <c r="R32" i="26"/>
  <c r="Q32" i="26"/>
  <c r="P29" i="26"/>
  <c r="L29" i="26"/>
  <c r="M29" i="26" s="1"/>
  <c r="K29" i="26"/>
  <c r="R31" i="26"/>
  <c r="Q31" i="26"/>
  <c r="P33" i="26"/>
  <c r="L33" i="26"/>
  <c r="K33" i="26"/>
  <c r="R30" i="26"/>
  <c r="Q30" i="26"/>
  <c r="P24" i="26"/>
  <c r="L24" i="26"/>
  <c r="K24" i="26"/>
  <c r="R29" i="26"/>
  <c r="Q29" i="26"/>
  <c r="P41" i="26"/>
  <c r="M41" i="26"/>
  <c r="N41" i="26" s="1"/>
  <c r="O41" i="26" s="1"/>
  <c r="L41" i="26"/>
  <c r="K41" i="26"/>
  <c r="R28" i="26"/>
  <c r="Q28" i="26"/>
  <c r="P20" i="26"/>
  <c r="M20" i="26"/>
  <c r="L20" i="26"/>
  <c r="K20" i="26"/>
  <c r="R27" i="26"/>
  <c r="Q27" i="26"/>
  <c r="P27" i="26"/>
  <c r="M27" i="26"/>
  <c r="L27" i="26"/>
  <c r="K27" i="26"/>
  <c r="R26" i="26"/>
  <c r="Q26" i="26"/>
  <c r="P46" i="26"/>
  <c r="L46" i="26"/>
  <c r="M46" i="26" s="1"/>
  <c r="K46" i="26"/>
  <c r="R25" i="26"/>
  <c r="Q25" i="26"/>
  <c r="P32" i="26"/>
  <c r="L32" i="26"/>
  <c r="M32" i="26" s="1"/>
  <c r="K32" i="26"/>
  <c r="R24" i="26"/>
  <c r="Q24" i="26"/>
  <c r="P26" i="26"/>
  <c r="L26" i="26"/>
  <c r="M26" i="26" s="1"/>
  <c r="K26" i="26"/>
  <c r="R23" i="26"/>
  <c r="Q23" i="26"/>
  <c r="P16" i="26"/>
  <c r="L16" i="26"/>
  <c r="K16" i="26"/>
  <c r="R22" i="26"/>
  <c r="Q22" i="26"/>
  <c r="P18" i="26"/>
  <c r="L18" i="26"/>
  <c r="M18" i="26" s="1"/>
  <c r="K18" i="26"/>
  <c r="R21" i="26"/>
  <c r="Q21" i="26"/>
  <c r="P31" i="26"/>
  <c r="L31" i="26"/>
  <c r="M31" i="26" s="1"/>
  <c r="K31" i="26"/>
  <c r="R20" i="26"/>
  <c r="Q20" i="26"/>
  <c r="P23" i="26"/>
  <c r="L23" i="26"/>
  <c r="M23" i="26" s="1"/>
  <c r="K23" i="26"/>
  <c r="R19" i="26"/>
  <c r="Q19" i="26"/>
  <c r="P15" i="26"/>
  <c r="L15" i="26"/>
  <c r="K15" i="26"/>
  <c r="R18" i="26"/>
  <c r="Q18" i="26"/>
  <c r="P21" i="26"/>
  <c r="L21" i="26"/>
  <c r="M21" i="26" s="1"/>
  <c r="K21" i="26"/>
  <c r="R17" i="26"/>
  <c r="Q17" i="26"/>
  <c r="P14" i="26"/>
  <c r="L14" i="26"/>
  <c r="K14" i="26"/>
  <c r="R16" i="26"/>
  <c r="Q16" i="26"/>
  <c r="P17" i="26"/>
  <c r="L17" i="26"/>
  <c r="M17" i="26" s="1"/>
  <c r="K17" i="26"/>
  <c r="R15" i="26"/>
  <c r="Q15" i="26"/>
  <c r="P12" i="26"/>
  <c r="L12" i="26"/>
  <c r="K12" i="26"/>
  <c r="R14" i="26"/>
  <c r="Q14" i="26"/>
  <c r="P11" i="26"/>
  <c r="L11" i="26"/>
  <c r="M11" i="26" s="1"/>
  <c r="K11" i="26"/>
  <c r="R13" i="26"/>
  <c r="Q13" i="26"/>
  <c r="P10" i="26"/>
  <c r="L10" i="26"/>
  <c r="M10" i="26" s="1"/>
  <c r="K10" i="26"/>
  <c r="R12" i="26"/>
  <c r="Q12" i="26"/>
  <c r="P19" i="26"/>
  <c r="L19" i="26"/>
  <c r="M19" i="26" s="1"/>
  <c r="K19" i="26"/>
  <c r="R11" i="26"/>
  <c r="Q11" i="26"/>
  <c r="P9" i="26"/>
  <c r="L9" i="26"/>
  <c r="K9" i="26"/>
  <c r="R10" i="26"/>
  <c r="Q10" i="26"/>
  <c r="P8" i="26"/>
  <c r="L8" i="26"/>
  <c r="M8" i="26" s="1"/>
  <c r="K8" i="26"/>
  <c r="R9" i="26"/>
  <c r="Q9" i="26"/>
  <c r="P25" i="26"/>
  <c r="L25" i="26"/>
  <c r="M25" i="26" s="1"/>
  <c r="K25" i="26"/>
  <c r="R8" i="26"/>
  <c r="Q8" i="26"/>
  <c r="P7" i="26"/>
  <c r="L7" i="26"/>
  <c r="M7" i="26" s="1"/>
  <c r="K7" i="26"/>
  <c r="R7" i="26"/>
  <c r="Q7" i="26"/>
  <c r="P6" i="26"/>
  <c r="L6" i="26"/>
  <c r="K6" i="26"/>
  <c r="R6" i="26"/>
  <c r="Q6" i="26"/>
  <c r="P13" i="26"/>
  <c r="L13" i="26"/>
  <c r="M13" i="26" s="1"/>
  <c r="K13" i="26"/>
  <c r="R5" i="26"/>
  <c r="Q5" i="26"/>
  <c r="P5" i="26"/>
  <c r="L5" i="26"/>
  <c r="K5" i="26"/>
  <c r="R4" i="26"/>
  <c r="R2" i="26" s="1"/>
  <c r="P4" i="26"/>
  <c r="L4" i="26"/>
  <c r="M4" i="26" s="1"/>
  <c r="W3" i="17"/>
  <c r="W5" i="17"/>
  <c r="W6" i="17"/>
  <c r="W7" i="17"/>
  <c r="W8" i="17"/>
  <c r="W9" i="17"/>
  <c r="W10" i="17"/>
  <c r="W11" i="17"/>
  <c r="W12" i="17"/>
  <c r="W13" i="17"/>
  <c r="W14" i="17"/>
  <c r="W15" i="17"/>
  <c r="W16" i="17"/>
  <c r="W17" i="17"/>
  <c r="W18" i="17"/>
  <c r="W19" i="17"/>
  <c r="W20" i="17"/>
  <c r="W21" i="17"/>
  <c r="W22" i="17"/>
  <c r="W23" i="17"/>
  <c r="W4" i="17"/>
  <c r="V4" i="17" a="1"/>
  <c r="V4" i="17" s="1"/>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 i="17"/>
  <c r="J45" i="17"/>
  <c r="O45" i="17"/>
  <c r="K45" i="17"/>
  <c r="L45" i="17" s="1"/>
  <c r="F49" i="17"/>
  <c r="F48" i="17"/>
  <c r="F47" i="17"/>
  <c r="F46" i="17"/>
  <c r="F13" i="17"/>
  <c r="F12" i="17"/>
  <c r="F9" i="17"/>
  <c r="F11" i="17"/>
  <c r="F10" i="17"/>
  <c r="F8" i="17"/>
  <c r="F7" i="17"/>
  <c r="F6" i="17"/>
  <c r="F5" i="17"/>
  <c r="O39" i="26" l="1"/>
  <c r="S8" i="26"/>
  <c r="S12" i="26"/>
  <c r="S20" i="26"/>
  <c r="S4" i="26"/>
  <c r="N10" i="26"/>
  <c r="N31" i="26"/>
  <c r="O31" i="26" s="1"/>
  <c r="N20" i="26"/>
  <c r="O20" i="26" s="1"/>
  <c r="N52" i="26"/>
  <c r="O10" i="26"/>
  <c r="S19" i="26"/>
  <c r="Q2" i="26"/>
  <c r="S7" i="26"/>
  <c r="S11" i="26"/>
  <c r="S18" i="26"/>
  <c r="M15" i="26"/>
  <c r="N15" i="26" s="1"/>
  <c r="S25" i="26"/>
  <c r="S32" i="26"/>
  <c r="S39" i="26"/>
  <c r="S43" i="26"/>
  <c r="S44" i="26"/>
  <c r="S45" i="26"/>
  <c r="N36" i="26"/>
  <c r="O36" i="26" s="1"/>
  <c r="N49" i="26"/>
  <c r="O49" i="26" s="1"/>
  <c r="S26" i="26"/>
  <c r="S33" i="26"/>
  <c r="S40" i="26"/>
  <c r="S6" i="26"/>
  <c r="S10" i="26"/>
  <c r="S15" i="26"/>
  <c r="S16" i="26"/>
  <c r="M14" i="26"/>
  <c r="N14" i="26" s="1"/>
  <c r="O14" i="26" s="1"/>
  <c r="S23" i="26"/>
  <c r="S24" i="26"/>
  <c r="S31" i="26"/>
  <c r="S35" i="26"/>
  <c r="S36" i="26"/>
  <c r="S37" i="26"/>
  <c r="S38" i="26"/>
  <c r="S42" i="26"/>
  <c r="S21" i="26"/>
  <c r="S13" i="26"/>
  <c r="S14" i="26"/>
  <c r="M12" i="26"/>
  <c r="S22" i="26"/>
  <c r="M16" i="26"/>
  <c r="N16" i="26" s="1"/>
  <c r="S27" i="26"/>
  <c r="S28" i="26"/>
  <c r="S29" i="26"/>
  <c r="S30" i="26"/>
  <c r="S34" i="26"/>
  <c r="M48" i="26"/>
  <c r="S41" i="26"/>
  <c r="N21" i="26"/>
  <c r="O21" i="26" s="1"/>
  <c r="N29" i="26"/>
  <c r="O29" i="26"/>
  <c r="N13" i="26"/>
  <c r="O13" i="26" s="1"/>
  <c r="N8" i="26"/>
  <c r="O8" i="26" s="1"/>
  <c r="N17" i="26"/>
  <c r="O17" i="26" s="1"/>
  <c r="N26" i="26"/>
  <c r="O26" i="26" s="1"/>
  <c r="N44" i="26"/>
  <c r="O44" i="26" s="1"/>
  <c r="N11" i="26"/>
  <c r="O11" i="26" s="1"/>
  <c r="N18" i="26"/>
  <c r="O18" i="26" s="1"/>
  <c r="N47" i="26"/>
  <c r="O47" i="26" s="1"/>
  <c r="O52" i="26"/>
  <c r="N4" i="26"/>
  <c r="O4" i="26" s="1"/>
  <c r="N7" i="26"/>
  <c r="O7" i="26" s="1"/>
  <c r="N19" i="26"/>
  <c r="O19" i="26" s="1"/>
  <c r="N23" i="26"/>
  <c r="O23" i="26" s="1"/>
  <c r="N46" i="26"/>
  <c r="O46" i="26" s="1"/>
  <c r="N28" i="26"/>
  <c r="O28" i="26" s="1"/>
  <c r="S9" i="26"/>
  <c r="M22" i="26"/>
  <c r="N22" i="26" s="1"/>
  <c r="M6" i="26"/>
  <c r="N34" i="26"/>
  <c r="O34" i="26" s="1"/>
  <c r="N25" i="26"/>
  <c r="O25" i="26" s="1"/>
  <c r="M33" i="26"/>
  <c r="N33" i="26" s="1"/>
  <c r="M37" i="26"/>
  <c r="N37" i="26" s="1"/>
  <c r="S17" i="26"/>
  <c r="N27" i="26"/>
  <c r="O27" i="26" s="1"/>
  <c r="M5" i="26"/>
  <c r="N5" i="26" s="1"/>
  <c r="M9" i="26"/>
  <c r="N9" i="26" s="1"/>
  <c r="N32" i="26"/>
  <c r="O32" i="26" s="1"/>
  <c r="N30" i="26"/>
  <c r="O30" i="26" s="1"/>
  <c r="M51" i="26"/>
  <c r="N51" i="26" s="1"/>
  <c r="S5" i="26"/>
  <c r="M24" i="26"/>
  <c r="N43" i="26"/>
  <c r="O43" i="26" s="1"/>
  <c r="M50" i="26"/>
  <c r="N50" i="26" s="1"/>
  <c r="M53" i="26"/>
  <c r="N45" i="26"/>
  <c r="O45" i="26" s="1"/>
  <c r="M45" i="17"/>
  <c r="N45" i="17" s="1"/>
  <c r="S2" i="26" l="1"/>
  <c r="O15" i="26"/>
  <c r="N48" i="26"/>
  <c r="O48" i="26" s="1"/>
  <c r="O16" i="26"/>
  <c r="N12" i="26"/>
  <c r="O12" i="26" s="1"/>
  <c r="N24" i="26"/>
  <c r="O24" i="26" s="1"/>
  <c r="O50" i="26"/>
  <c r="O37" i="26"/>
  <c r="O33" i="26"/>
  <c r="O51" i="26"/>
  <c r="O9" i="26"/>
  <c r="O5" i="26"/>
  <c r="O22" i="26"/>
  <c r="N6" i="26"/>
  <c r="O6" i="26" s="1"/>
  <c r="N53" i="26"/>
  <c r="O53" i="26" s="1"/>
  <c r="F4" i="17"/>
  <c r="O49" i="17"/>
  <c r="K49" i="17"/>
  <c r="J49" i="17"/>
  <c r="O43" i="17"/>
  <c r="K43" i="17"/>
  <c r="J43" i="17"/>
  <c r="O42" i="17"/>
  <c r="K42" i="17"/>
  <c r="L42" i="17" s="1"/>
  <c r="J42" i="17"/>
  <c r="Q45" i="17"/>
  <c r="P45" i="17"/>
  <c r="O33" i="17"/>
  <c r="K33" i="17"/>
  <c r="L33" i="17" s="1"/>
  <c r="J33" i="17"/>
  <c r="Q44" i="17"/>
  <c r="P44" i="17"/>
  <c r="O48" i="17"/>
  <c r="K48" i="17"/>
  <c r="L48" i="17" s="1"/>
  <c r="J48" i="17"/>
  <c r="Q43" i="17"/>
  <c r="P43" i="17"/>
  <c r="O47" i="17"/>
  <c r="K47" i="17"/>
  <c r="J47" i="17"/>
  <c r="Q42" i="17"/>
  <c r="P42" i="17"/>
  <c r="O37" i="17"/>
  <c r="K37" i="17"/>
  <c r="L37" i="17" s="1"/>
  <c r="J37" i="17"/>
  <c r="Q41" i="17"/>
  <c r="P41" i="17"/>
  <c r="O41" i="17"/>
  <c r="K41" i="17"/>
  <c r="J41" i="17"/>
  <c r="Q40" i="17"/>
  <c r="P40" i="17"/>
  <c r="O40" i="17"/>
  <c r="K40" i="17"/>
  <c r="L40" i="17" s="1"/>
  <c r="J40" i="17"/>
  <c r="Q39" i="17"/>
  <c r="P39" i="17"/>
  <c r="O29" i="17"/>
  <c r="K29" i="17"/>
  <c r="L29" i="17" s="1"/>
  <c r="J29" i="17"/>
  <c r="Q38" i="17"/>
  <c r="P38" i="17"/>
  <c r="O36" i="17"/>
  <c r="K36" i="17"/>
  <c r="L36" i="17" s="1"/>
  <c r="J36" i="17"/>
  <c r="Q37" i="17"/>
  <c r="P37" i="17"/>
  <c r="O46" i="17"/>
  <c r="K46" i="17"/>
  <c r="J46" i="17"/>
  <c r="Q36" i="17"/>
  <c r="P36" i="17"/>
  <c r="O39" i="17"/>
  <c r="K39" i="17"/>
  <c r="L39" i="17" s="1"/>
  <c r="J39" i="17"/>
  <c r="Q35" i="17"/>
  <c r="P35" i="17"/>
  <c r="O38" i="17"/>
  <c r="K38" i="17"/>
  <c r="J38" i="17"/>
  <c r="Q34" i="17"/>
  <c r="P34" i="17"/>
  <c r="O28" i="17"/>
  <c r="K28" i="17"/>
  <c r="L28" i="17" s="1"/>
  <c r="J28" i="17"/>
  <c r="Q33" i="17"/>
  <c r="P33" i="17"/>
  <c r="O35" i="17"/>
  <c r="K35" i="17"/>
  <c r="L35" i="17" s="1"/>
  <c r="J35" i="17"/>
  <c r="Q32" i="17"/>
  <c r="P32" i="17"/>
  <c r="O32" i="17"/>
  <c r="K32" i="17"/>
  <c r="L32" i="17" s="1"/>
  <c r="J32" i="17"/>
  <c r="Q31" i="17"/>
  <c r="P31" i="17"/>
  <c r="O31" i="17"/>
  <c r="L31" i="17"/>
  <c r="K31" i="17"/>
  <c r="J31" i="17"/>
  <c r="Q30" i="17"/>
  <c r="P30" i="17"/>
  <c r="O19" i="17"/>
  <c r="K19" i="17"/>
  <c r="L19" i="17" s="1"/>
  <c r="J19" i="17"/>
  <c r="Q29" i="17"/>
  <c r="P29" i="17"/>
  <c r="O34" i="17"/>
  <c r="L34" i="17"/>
  <c r="K34" i="17"/>
  <c r="J34" i="17"/>
  <c r="Q28" i="17"/>
  <c r="P28" i="17"/>
  <c r="O44" i="17"/>
  <c r="K44" i="17"/>
  <c r="L44" i="17" s="1"/>
  <c r="J44" i="17"/>
  <c r="Q27" i="17"/>
  <c r="P27" i="17"/>
  <c r="O25" i="17"/>
  <c r="K25" i="17"/>
  <c r="J25" i="17"/>
  <c r="Q26" i="17"/>
  <c r="P26" i="17"/>
  <c r="O30" i="17"/>
  <c r="K30" i="17"/>
  <c r="J30" i="17"/>
  <c r="Q25" i="17"/>
  <c r="P25" i="17"/>
  <c r="O23" i="17"/>
  <c r="K23" i="17"/>
  <c r="L23" i="17" s="1"/>
  <c r="J23" i="17"/>
  <c r="Q24" i="17"/>
  <c r="P24" i="17"/>
  <c r="O22" i="17"/>
  <c r="K22" i="17"/>
  <c r="L22" i="17" s="1"/>
  <c r="J22" i="17"/>
  <c r="Q23" i="17"/>
  <c r="P23" i="17"/>
  <c r="O21" i="17"/>
  <c r="K21" i="17"/>
  <c r="J21" i="17"/>
  <c r="Q22" i="17"/>
  <c r="P22" i="17"/>
  <c r="O24" i="17"/>
  <c r="K24" i="17"/>
  <c r="L24" i="17" s="1"/>
  <c r="J24" i="17"/>
  <c r="Q21" i="17"/>
  <c r="P21" i="17"/>
  <c r="O13" i="17"/>
  <c r="K13" i="17"/>
  <c r="J13" i="17"/>
  <c r="Q20" i="17"/>
  <c r="P20" i="17"/>
  <c r="O20" i="17"/>
  <c r="K20" i="17"/>
  <c r="L20" i="17" s="1"/>
  <c r="J20" i="17"/>
  <c r="Q19" i="17"/>
  <c r="P19" i="17"/>
  <c r="O27" i="17"/>
  <c r="K27" i="17"/>
  <c r="J27" i="17"/>
  <c r="Q18" i="17"/>
  <c r="P18" i="17"/>
  <c r="O18" i="17"/>
  <c r="K18" i="17"/>
  <c r="L18" i="17" s="1"/>
  <c r="J18" i="17"/>
  <c r="Q17" i="17"/>
  <c r="P17" i="17"/>
  <c r="O12" i="17"/>
  <c r="L12" i="17"/>
  <c r="K12" i="17"/>
  <c r="J12" i="17"/>
  <c r="Q16" i="17"/>
  <c r="P16" i="17"/>
  <c r="O26" i="17"/>
  <c r="K26" i="17"/>
  <c r="L26" i="17" s="1"/>
  <c r="J26" i="17"/>
  <c r="Q15" i="17"/>
  <c r="P15" i="17"/>
  <c r="O9" i="17"/>
  <c r="K9" i="17"/>
  <c r="L9" i="17" s="1"/>
  <c r="J9" i="17"/>
  <c r="Q14" i="17"/>
  <c r="P14" i="17"/>
  <c r="O11" i="17"/>
  <c r="K11" i="17"/>
  <c r="L11" i="17" s="1"/>
  <c r="J11" i="17"/>
  <c r="Q13" i="17"/>
  <c r="P13" i="17"/>
  <c r="O17" i="17"/>
  <c r="L17" i="17"/>
  <c r="K17" i="17"/>
  <c r="J17" i="17"/>
  <c r="Q12" i="17"/>
  <c r="P12" i="17"/>
  <c r="O15" i="17"/>
  <c r="K15" i="17"/>
  <c r="L15" i="17" s="1"/>
  <c r="J15" i="17"/>
  <c r="Q11" i="17"/>
  <c r="P11" i="17"/>
  <c r="O10" i="17"/>
  <c r="K10" i="17"/>
  <c r="J10" i="17"/>
  <c r="Q10" i="17"/>
  <c r="P10" i="17"/>
  <c r="O14" i="17"/>
  <c r="K14" i="17"/>
  <c r="L14" i="17" s="1"/>
  <c r="J14" i="17"/>
  <c r="Q9" i="17"/>
  <c r="P9" i="17"/>
  <c r="O8" i="17"/>
  <c r="K8" i="17"/>
  <c r="L8" i="17" s="1"/>
  <c r="J8" i="17"/>
  <c r="Q8" i="17"/>
  <c r="P8" i="17"/>
  <c r="O7" i="17"/>
  <c r="K7" i="17"/>
  <c r="L7" i="17" s="1"/>
  <c r="J7" i="17"/>
  <c r="Q7" i="17"/>
  <c r="P7" i="17"/>
  <c r="O16" i="17"/>
  <c r="K16" i="17"/>
  <c r="L16" i="17" s="1"/>
  <c r="J16" i="17"/>
  <c r="Q6" i="17"/>
  <c r="P6" i="17"/>
  <c r="O6" i="17"/>
  <c r="K6" i="17"/>
  <c r="L6" i="17" s="1"/>
  <c r="J6" i="17"/>
  <c r="Q5" i="17"/>
  <c r="P5" i="17"/>
  <c r="O5" i="17"/>
  <c r="K5" i="17"/>
  <c r="J5" i="17"/>
  <c r="Q4" i="17"/>
  <c r="P4" i="17"/>
  <c r="O4" i="17"/>
  <c r="K4" i="17"/>
  <c r="L4" i="17" s="1"/>
  <c r="J4" i="17"/>
  <c r="Q2" i="14"/>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5" i="14"/>
  <c r="E7" i="14"/>
  <c r="E6" i="14"/>
  <c r="E10" i="14"/>
  <c r="E8" i="14"/>
  <c r="E9" i="14"/>
  <c r="E11" i="14"/>
  <c r="E12" i="14"/>
  <c r="E13" i="14"/>
  <c r="E21" i="14"/>
  <c r="E31" i="14"/>
  <c r="E48" i="14"/>
  <c r="E46"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B1" i="3" a="1"/>
  <c r="B1" i="3" s="1"/>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6" i="11"/>
  <c r="D7" i="11"/>
  <c r="D5" i="11"/>
  <c r="D8" i="11"/>
  <c r="D10" i="11"/>
  <c r="D9" i="11"/>
  <c r="D4" i="11"/>
  <c r="D12" i="11"/>
  <c r="B2" i="12" a="1"/>
  <c r="E41" i="14"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D28" i="11" l="1"/>
  <c r="E44" i="14"/>
  <c r="E37" i="14"/>
  <c r="E34" i="14"/>
  <c r="E19" i="14"/>
  <c r="E43" i="14"/>
  <c r="E33" i="14"/>
  <c r="E23" i="14"/>
  <c r="E26" i="14"/>
  <c r="E17" i="14"/>
  <c r="E39" i="14"/>
  <c r="E27" i="14"/>
  <c r="E28" i="14"/>
  <c r="E40" i="14"/>
  <c r="E36" i="14"/>
  <c r="E20" i="14"/>
  <c r="E18" i="14"/>
  <c r="E38" i="14"/>
  <c r="E29" i="14"/>
  <c r="E16" i="14"/>
  <c r="D45" i="11"/>
  <c r="E45" i="14"/>
  <c r="E25" i="14"/>
  <c r="E22" i="14"/>
  <c r="E24" i="14"/>
  <c r="E30" i="14"/>
  <c r="D20" i="11"/>
  <c r="G17" i="26"/>
  <c r="G26" i="26"/>
  <c r="G29" i="26"/>
  <c r="G28" i="26"/>
  <c r="F33" i="17"/>
  <c r="F34" i="17"/>
  <c r="F17" i="17"/>
  <c r="F44" i="17"/>
  <c r="F31" i="17"/>
  <c r="G38" i="26"/>
  <c r="G25" i="26"/>
  <c r="G32" i="26"/>
  <c r="G30" i="26"/>
  <c r="G34" i="26"/>
  <c r="F39" i="17"/>
  <c r="F20" i="17"/>
  <c r="F26" i="17"/>
  <c r="G24" i="26"/>
  <c r="F43" i="17"/>
  <c r="G39" i="26"/>
  <c r="G21" i="26"/>
  <c r="G44" i="26"/>
  <c r="F38" i="17"/>
  <c r="F25" i="17"/>
  <c r="F27" i="17"/>
  <c r="F37" i="17"/>
  <c r="F30" i="17"/>
  <c r="F40" i="17"/>
  <c r="G40" i="26"/>
  <c r="G15" i="26"/>
  <c r="G27" i="26"/>
  <c r="G43" i="26"/>
  <c r="G36" i="26"/>
  <c r="F28" i="17"/>
  <c r="F18" i="17"/>
  <c r="G42" i="26"/>
  <c r="G19" i="26"/>
  <c r="G23" i="26"/>
  <c r="G20" i="26"/>
  <c r="F45" i="17"/>
  <c r="F41" i="17"/>
  <c r="F35" i="17"/>
  <c r="F23" i="17"/>
  <c r="F32" i="17"/>
  <c r="G18" i="26"/>
  <c r="F21" i="17"/>
  <c r="G31" i="26"/>
  <c r="G41" i="26"/>
  <c r="G35" i="26"/>
  <c r="F22" i="17"/>
  <c r="G22" i="26"/>
  <c r="F29" i="17"/>
  <c r="G16" i="26"/>
  <c r="G33" i="26"/>
  <c r="G37" i="26"/>
  <c r="F42" i="17"/>
  <c r="F36" i="17"/>
  <c r="F19" i="17"/>
  <c r="F24" i="17"/>
  <c r="F16" i="17"/>
  <c r="D37" i="11"/>
  <c r="E35" i="14"/>
  <c r="E32" i="14"/>
  <c r="E42" i="14"/>
  <c r="R4" i="17"/>
  <c r="R12" i="17"/>
  <c r="R44" i="17"/>
  <c r="R6" i="17"/>
  <c r="R11" i="17"/>
  <c r="M12" i="17"/>
  <c r="R22" i="17"/>
  <c r="L21" i="17"/>
  <c r="M21" i="17" s="1"/>
  <c r="R27" i="17"/>
  <c r="M35" i="17"/>
  <c r="R38" i="17"/>
  <c r="R43" i="17"/>
  <c r="R16" i="17"/>
  <c r="R21" i="17"/>
  <c r="M25" i="17"/>
  <c r="R32" i="17"/>
  <c r="R37" i="17"/>
  <c r="R33" i="17"/>
  <c r="M29" i="17"/>
  <c r="R5" i="17"/>
  <c r="R10" i="17"/>
  <c r="L10" i="17"/>
  <c r="M10" i="17" s="1"/>
  <c r="R15" i="17"/>
  <c r="R26" i="17"/>
  <c r="L25" i="17"/>
  <c r="R31" i="17"/>
  <c r="R42" i="17"/>
  <c r="L47" i="17"/>
  <c r="R28" i="17"/>
  <c r="L5" i="17"/>
  <c r="M5" i="17" s="1"/>
  <c r="N5" i="17" s="1"/>
  <c r="R9" i="17"/>
  <c r="M9" i="17"/>
  <c r="R20" i="17"/>
  <c r="L13" i="17"/>
  <c r="M13" i="17" s="1"/>
  <c r="N13" i="17" s="1"/>
  <c r="R25" i="17"/>
  <c r="M31" i="17"/>
  <c r="N31" i="17" s="1"/>
  <c r="R36" i="17"/>
  <c r="L46" i="17"/>
  <c r="M46" i="17" s="1"/>
  <c r="N46" i="17" s="1"/>
  <c r="R41" i="17"/>
  <c r="R17" i="17"/>
  <c r="M8" i="17"/>
  <c r="R14" i="17"/>
  <c r="R19" i="17"/>
  <c r="M23" i="17"/>
  <c r="R30" i="17"/>
  <c r="R35" i="17"/>
  <c r="R8" i="17"/>
  <c r="R13" i="17"/>
  <c r="R24" i="17"/>
  <c r="N23" i="17"/>
  <c r="R29" i="17"/>
  <c r="R40" i="17"/>
  <c r="L41" i="17"/>
  <c r="R45" i="17"/>
  <c r="M16" i="17"/>
  <c r="N16" i="17" s="1"/>
  <c r="P2" i="17"/>
  <c r="N8" i="17"/>
  <c r="Q2" i="17"/>
  <c r="R7" i="17"/>
  <c r="M17" i="17"/>
  <c r="N17" i="17" s="1"/>
  <c r="R18" i="17"/>
  <c r="L27" i="17"/>
  <c r="M27" i="17" s="1"/>
  <c r="R23" i="17"/>
  <c r="M34" i="17"/>
  <c r="N34" i="17" s="1"/>
  <c r="R34" i="17"/>
  <c r="L38" i="17"/>
  <c r="M38" i="17" s="1"/>
  <c r="R39" i="17"/>
  <c r="M33" i="17"/>
  <c r="N33" i="17" s="1"/>
  <c r="M18" i="17"/>
  <c r="N18" i="17" s="1"/>
  <c r="M28" i="17"/>
  <c r="N28" i="17" s="1"/>
  <c r="M15" i="17"/>
  <c r="N15" i="17" s="1"/>
  <c r="M44" i="17"/>
  <c r="N44" i="17" s="1"/>
  <c r="N29" i="17"/>
  <c r="M48" i="17"/>
  <c r="N48" i="17" s="1"/>
  <c r="M7" i="17"/>
  <c r="N7" i="17" s="1"/>
  <c r="M6" i="17"/>
  <c r="N6" i="17" s="1"/>
  <c r="N12" i="17"/>
  <c r="M24" i="17"/>
  <c r="N24" i="17" s="1"/>
  <c r="N35" i="17"/>
  <c r="M36" i="17"/>
  <c r="N36" i="17" s="1"/>
  <c r="M26" i="17"/>
  <c r="N26" i="17" s="1"/>
  <c r="M32" i="17"/>
  <c r="N32" i="17" s="1"/>
  <c r="M4" i="17"/>
  <c r="N4" i="17" s="1"/>
  <c r="M14" i="17"/>
  <c r="N14" i="17" s="1"/>
  <c r="M37" i="17"/>
  <c r="N37" i="17" s="1"/>
  <c r="N9" i="17"/>
  <c r="M20" i="17"/>
  <c r="N20" i="17" s="1"/>
  <c r="M39" i="17"/>
  <c r="N39" i="17" s="1"/>
  <c r="M11" i="17"/>
  <c r="N11" i="17" s="1"/>
  <c r="M19" i="17"/>
  <c r="N19" i="17" s="1"/>
  <c r="M42" i="17"/>
  <c r="N42" i="17"/>
  <c r="M22" i="17"/>
  <c r="N22" i="17" s="1"/>
  <c r="M40" i="17"/>
  <c r="N40" i="17" s="1"/>
  <c r="L49" i="17"/>
  <c r="M49" i="17" s="1"/>
  <c r="L43" i="17"/>
  <c r="M43" i="17" s="1"/>
  <c r="L30" i="17"/>
  <c r="M30" i="17" s="1"/>
  <c r="M42" i="14"/>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F15" i="17" l="1"/>
  <c r="G14" i="26"/>
  <c r="F14" i="17"/>
  <c r="G13" i="26"/>
  <c r="E15" i="14"/>
  <c r="E14" i="14"/>
  <c r="R2" i="17"/>
  <c r="N21" i="17"/>
  <c r="N27" i="17"/>
  <c r="N25" i="17"/>
  <c r="M41" i="17"/>
  <c r="N41" i="17" s="1"/>
  <c r="M47" i="17"/>
  <c r="N47" i="17" s="1"/>
  <c r="N10" i="17"/>
  <c r="N38" i="17"/>
  <c r="N43" i="17"/>
  <c r="N30" i="17"/>
  <c r="N49" i="17"/>
  <c r="M24" i="14"/>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<sst xmlns="http://schemas.openxmlformats.org/spreadsheetml/2006/main" count="1065" uniqueCount="233">
  <si>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</si>
  <si>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</si>
  <si>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</si>
  <si>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</si>
  <si>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</si>
  <si>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</si>
  <si>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</si>
  <si>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</si>
  <si>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</si>
  <si>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</si>
  <si>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</si>
  <si>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</si>
  <si>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</si>
  <si>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</si>
  <si>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</si>
  <si>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</si>
  <si>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</si>
  <si>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</si>
  <si>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</si>
  <si>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</si>
  <si>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</si>
  <si>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</si>
  <si>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</si>
  <si>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</si>
  <si>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</si>
  <si>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</si>
  <si>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</si>
  <si>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</si>
  <si>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</si>
  <si>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</si>
  <si>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</si>
  <si>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</si>
  <si>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</si>
  <si>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</si>
  <si>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</si>
  <si>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</si>
  <si>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</si>
  <si>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</si>
  <si>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</si>
  <si>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</si>
  <si>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</si>
  <si>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</si>
  <si>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</si>
  <si>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</si>
  <si>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</si>
  <si>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</si>
  <si>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</si>
  <si>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</si>
  <si>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</si>
  <si>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</si>
  <si>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</si>
  <si>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</si>
  <si>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</si>
  <si>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</si>
  <si>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</si>
  <si>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</si>
  <si>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</si>
  <si>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</si>
  <si>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</si>
  <si>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</si>
  <si>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</si>
  <si>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</si>
  <si>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</si>
  <si>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</si>
  <si>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</si>
  <si>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</si>
  <si>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</si>
  <si>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</si>
  <si>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</si>
  <si>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</si>
  <si>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</si>
  <si>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</si>
  <si>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</si>
  <si>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</si>
  <si>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</si>
  <si>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</si>
  <si>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</si>
  <si>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</si>
  <si>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</si>
  <si>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</si>
  <si>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</si>
  <si>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</si>
  <si>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</si>
  <si>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</si>
  <si>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</si>
  <si>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</si>
  <si>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</si>
  <si>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</si>
  <si>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</si>
  <si>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</si>
  <si>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</si>
  <si>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</si>
  <si>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</si>
  <si>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</si>
  <si>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</si>
  <si>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</si>
  <si>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</si>
  <si>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</si>
  <si>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</si>
  <si>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</si>
  <si>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</si>
  <si>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</si>
  <si>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</si>
  <si>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</si>
  <si>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</si>
  <si>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</si>
  <si>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</si>
  <si>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</si>
  <si>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</si>
  <si>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</si>
  <si>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</si>
  <si>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</si>
  <si>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</si>
  <si>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</si>
  <si>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</si>
  <si>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</si>
  <si>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</si>
  <si>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</si>
  <si>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</si>
  <si>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</si>
  <si>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</si>
  <si>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</si>
  <si>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</si>
  <si>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</si>
  <si>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</si>
  <si>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</si>
  <si>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</si>
  <si>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</si>
  <si>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</si>
  <si>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</si>
  <si>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</si>
  <si>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</si>
  <si>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</si>
  <si>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</si>
  <si>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</si>
  <si>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</si>
  <si>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</si>
  <si>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</si>
  <si>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</si>
  <si>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</si>
  <si>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</si>
  <si>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</si>
  <si>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</si>
  <si>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</si>
  <si>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</si>
  <si>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</si>
  <si>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</si>
  <si>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</si>
  <si>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</si>
  <si>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</si>
  <si>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</si>
  <si>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</si>
  <si>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</si>
  <si>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</si>
  <si>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</si>
  <si>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</si>
  <si>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</si>
  <si>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</si>
  <si>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</si>
  <si>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</si>
  <si>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</si>
  <si>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</si>
  <si>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</si>
  <si>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</si>
  <si>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</si>
  <si>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</si>
  <si>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</si>
  <si>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</si>
  <si>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</si>
  <si>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</si>
  <si>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</si>
  <si>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</si>
  <si>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</si>
  <si>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</si>
  <si>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</si>
  <si>
    <t>Rank for January 2023</t>
  </si>
  <si>
    <t>Will be out for January 2023 tournament</t>
  </si>
  <si>
    <t>Current rank value</t>
  </si>
  <si>
    <t>heights and weights checked Jan 6, 2023</t>
  </si>
  <si>
    <t>retired</t>
  </si>
  <si>
    <t>J10</t>
  </si>
  <si>
    <t>weight in November (kg)</t>
  </si>
  <si>
    <t>Change</t>
  </si>
  <si>
    <t>Update for January 2023</t>
  </si>
  <si>
    <t>as of 6 Jan 2023</t>
  </si>
  <si>
    <t>Rank for March 2023</t>
  </si>
  <si>
    <t>M17</t>
  </si>
  <si>
    <t>J08</t>
  </si>
  <si>
    <t>Daishoho</t>
  </si>
  <si>
    <t>Kinbozan</t>
  </si>
  <si>
    <t>Bushozan</t>
  </si>
  <si>
    <t>Hokuseiho</t>
  </si>
  <si>
    <t>J02</t>
  </si>
  <si>
    <t>retired January 2023</t>
  </si>
  <si>
    <t>Ms01</t>
  </si>
  <si>
    <t>Height went from 185 to 188?</t>
  </si>
  <si>
    <t>Height went from 183 to 182?</t>
  </si>
  <si>
    <t>heights and weights checked Mar 5, 2023?</t>
  </si>
  <si>
    <t>height went up from 186 to 187</t>
  </si>
  <si>
    <t>height went up from 183 to 184</t>
  </si>
  <si>
    <t>height went from 187 to 186</t>
  </si>
  <si>
    <t>height went from 187 to 188</t>
  </si>
  <si>
    <t>height went from 184 to 185</t>
  </si>
  <si>
    <t>height went from 178 to 177</t>
  </si>
  <si>
    <t>height went from 189 up to 191</t>
  </si>
  <si>
    <t>height went from 183 to 184</t>
  </si>
  <si>
    <t>height went from 186 to 188</t>
  </si>
  <si>
    <t>height went from 189 to 188</t>
  </si>
  <si>
    <t>height went from 190 to 191</t>
  </si>
  <si>
    <t>height went from 184 to 183</t>
  </si>
  <si>
    <t>height went from 191 to 192</t>
  </si>
  <si>
    <t>height went from 189 to 190</t>
  </si>
  <si>
    <t>height went from 190 to 189</t>
  </si>
  <si>
    <t>height went from 177 to 178</t>
  </si>
  <si>
    <t>Update for March 2023</t>
  </si>
  <si>
    <t>as of 5 Mar 2023</t>
  </si>
  <si>
    <t>height in January (cm)</t>
  </si>
  <si>
    <t>Day 14 record</t>
  </si>
  <si>
    <t>Label</t>
  </si>
  <si>
    <t>0-0-14</t>
  </si>
  <si>
    <t>7-7</t>
  </si>
  <si>
    <t>10-4</t>
  </si>
  <si>
    <t>11-3</t>
  </si>
  <si>
    <t>9-5</t>
  </si>
  <si>
    <t>8-6</t>
  </si>
  <si>
    <t>4-10</t>
  </si>
  <si>
    <t>5-9</t>
  </si>
  <si>
    <t>3-11</t>
  </si>
  <si>
    <t>6-8</t>
  </si>
  <si>
    <t>4-5-5</t>
  </si>
  <si>
    <t>1-13</t>
  </si>
  <si>
    <t>12-2</t>
  </si>
  <si>
    <t>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</si>
</sst>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3">
    <fill>
      <patternFill patternType="none"/>
    </fill>
    <fill>
      <patternFill patternType="gray125"/>
    </fill>
    <fill>
      <patternFill patternType="solid">
        <fgColor theme="9" tint="0.89999084444715716"/>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24">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xf numFmtId="16" fontId="0" fillId="0" borderId="0" xfId="0" quotePrefix="1" applyNumberFormat="1"/>
    <xf numFmtId="0" fontId="0" fillId="0" borderId="0" xfId="0" quotePrefix="1"/>
    <xf numFmtId="14" fontId="0" fillId="0" borderId="0" xfId="0" quotePrefix="1" applyNumberForma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worksheet" Target="worksheets/sheet8.xml"/><Relationship Id="rId3" Type="http://schemas.openxmlformats.org/officeDocument/2006/relationships/chartsheet" Target="chartsheets/sheet3.xml"/><Relationship Id="rId21" Type="http://schemas.openxmlformats.org/officeDocument/2006/relationships/theme" Target="theme/theme1.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chartsheet" Target="chartsheets/sheet10.xml"/><Relationship Id="rId25" Type="http://schemas.openxmlformats.org/officeDocument/2006/relationships/calcChain" Target="calcChain.xml"/><Relationship Id="rId2" Type="http://schemas.openxmlformats.org/officeDocument/2006/relationships/chartsheet" Target="chartsheets/sheet2.xml"/><Relationship Id="rId16" Type="http://schemas.openxmlformats.org/officeDocument/2006/relationships/chartsheet" Target="chartsheets/sheet9.xml"/><Relationship Id="rId20" Type="http://schemas.openxmlformats.org/officeDocument/2006/relationships/externalLink" Target="externalLinks/externalLink1.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3.xml"/><Relationship Id="rId24" Type="http://schemas.openxmlformats.org/officeDocument/2006/relationships/sheetMetadata" Target="metadata.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sharedStrings" Target="sharedStrings.xml"/><Relationship Id="rId10" Type="http://schemas.openxmlformats.org/officeDocument/2006/relationships/worksheet" Target="worksheets/sheet2.xml"/><Relationship Id="rId19" Type="http://schemas.openxmlformats.org/officeDocument/2006/relationships/worksheet" Target="worksheets/sheet9.xml"/><Relationship Id="rId4" Type="http://schemas.openxmlformats.org/officeDocument/2006/relationships/chartsheet" Target="chartsheets/sheet4.xml"/><Relationship Id="rId9" Type="http://schemas.openxmlformats.org/officeDocument/2006/relationships/chartsheet" Target="chartsheets/sheet8.xml"/><Relationship Id="rId14" Type="http://schemas.openxmlformats.org/officeDocument/2006/relationships/worksheet" Target="worksheets/sheet6.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34A6E19B-AA8C-4714-A3A7-3D8C7E0F0A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F6F2BDB7-4E4F-4D06-84AD-B922B0E8DA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253085EF-2215-4D30-B52B-48B735619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B1C33769-A28C-46DA-B488-06B3C33420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B597B946-6092-4DE0-A452-89D7C85FEE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4DDAC8C9-98A9-4ECD-B1B2-C3BD7D8EAE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BBB21175-10EF-4A72-A889-2B0CCB8F5C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6503FAB2-69F5-4879-86E7-25257A95E4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77EFC05E-71C6-471D-A909-82046A70EE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3B5A6E1A-1FEC-4D1D-A067-BFA3BE7E10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76360006-8479-4DD2-8261-A8BCDBF942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DAE686C2-892D-442C-A822-3D6D205EF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FB7FCE51-092E-4D15-91D2-B441BC435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973E535A-DB7C-4205-ABD9-197B2E9A96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965E6C2E-2DA3-4C09-90D2-767DCDA271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A9F46C8C-87CE-496B-B52E-5EC1FCAA22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4D95EEDE-17DB-46DB-A789-DD4F1C6833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7D99418A-FEC1-4667-B598-4B4FD10C86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9DF3C477-AFD7-4D61-8EC3-C3F4C7446C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80BDEDEF-0DCC-4110-8C7F-64B78EF039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069DB905-1E43-43CD-83A7-60B29364F0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1067413D-600D-4F78-8896-41FEC68FB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6FBBBFEC-C8FA-454A-8AB0-7E4C325E7D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D339A728-FD72-4D8B-9E54-0B88EDE311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D35E791F-9F1E-425B-A36B-E633BED4C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29268591-167C-406E-9994-9950197546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7B8D5EB1-327A-4F29-ACD0-5C49D6ABC5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CDD8C430-095F-4FE6-BC6C-7585824E27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49FB629E-C724-471B-B545-F3DC19328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B6C3E0B1-3E5F-404E-9494-E49B982345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2A02E3DE-BE7B-45D6-B4D4-2D07CC3645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EB730AA4-5624-48C6-821F-8FE23099E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381E8BCB-8018-417A-80B8-25CF887AEE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D223C36B-C7A0-4F6F-A640-DFFC123DAF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B60308D5-2991-4D15-9FBD-83AD2C447D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F5C71302-F49E-47FB-AA1C-80EE0B5838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09751DA4-913C-46EE-977D-583885884C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E09F01B4-8751-40C0-88DC-AEE0BBAE34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738BD528-BC67-476B-9892-1DD9187021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07A2916C-0382-4DF0-866E-89F65D5B96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04E868A9-B20E-4C6D-B16E-F7C2CD12D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5E63DDB4-699B-4629-8623-C192617EC7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Tournament after Day 14</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Pt>
            <c:idx val="0"/>
            <c:marker>
              <c:symbol val="none"/>
            </c:marker>
            <c:bubble3D val="0"/>
            <c:extLst>
              <c:ext xmlns:c16="http://schemas.microsoft.com/office/drawing/2014/chart" uri="{C3380CC4-5D6E-409C-BE32-E72D297353CC}">
                <c16:uniqueId val="{00000000-EC73-48AB-BD54-F92B729F8758}"/>
              </c:ext>
            </c:extLst>
          </c:dPt>
          <c:dLbls>
            <c:dLbl>
              <c:idx val="0"/>
              <c:delete val="1"/>
              <c:extLst>
                <c:ext xmlns:c15="http://schemas.microsoft.com/office/drawing/2012/chart" uri="{CE6537A1-D6FC-4f65-9D91-7224C49458BB}"/>
                <c:ext xmlns:c16="http://schemas.microsoft.com/office/drawing/2014/chart" uri="{C3380CC4-5D6E-409C-BE32-E72D297353CC}">
                  <c16:uniqueId val="{00000000-EC73-48AB-BD54-F92B729F8758}"/>
                </c:ext>
              </c:extLst>
            </c:dLbl>
            <c:dLbl>
              <c:idx val="1"/>
              <c:layout>
                <c:manualLayout>
                  <c:x val="-5.1329052948371978E-2"/>
                  <c:y val="-3.8383838383838381E-2"/>
                </c:manualLayout>
              </c:layout>
              <c:tx>
                <c:rich>
                  <a:bodyPr/>
                  <a:lstStyle/>
                  <a:p>
                    <a:fld id="{06FBF23F-2C3B-4751-8A8D-562F73F42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C73-48AB-BD54-F92B729F8758}"/>
                </c:ext>
              </c:extLst>
            </c:dLbl>
            <c:dLbl>
              <c:idx val="2"/>
              <c:layout>
                <c:manualLayout>
                  <c:x val="-0.12465627144604624"/>
                  <c:y val="-2.024295823781521E-2"/>
                </c:manualLayout>
              </c:layout>
              <c:tx>
                <c:rich>
                  <a:bodyPr/>
                  <a:lstStyle/>
                  <a:p>
                    <a:fld id="{8A038409-A9A6-44F4-93B9-EE307B8DED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Data'!$W$6:$W$8</c15:f>
                <c15:dlblRangeCache>
                  <c:ptCount val="3"/>
                  <c:pt idx="0">
                    <c:v>Wakatakakage, 7-7</c:v>
                  </c:pt>
                  <c:pt idx="1">
                    <c:v>Hoshoryu, 10-4</c:v>
                  </c:pt>
                  <c:pt idx="2">
                    <c:v>Kiribayama, 11-3</c:v>
                  </c:pt>
                </c15:dlblRangeCache>
              </c15:datalabelsRange>
            </c:ext>
            <c:ext xmlns:c16="http://schemas.microsoft.com/office/drawing/2014/chart" uri="{C3380CC4-5D6E-409C-BE32-E72D297353CC}">
              <c16:uniqueId val="{00000003-EC73-48AB-BD54-F92B729F8758}"/>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Pt>
            <c:idx val="3"/>
            <c:marker>
              <c:symbol val="none"/>
            </c:marker>
            <c:bubble3D val="0"/>
            <c:extLst>
              <c:ext xmlns:c16="http://schemas.microsoft.com/office/drawing/2014/chart" uri="{C3380CC4-5D6E-409C-BE32-E72D297353CC}">
                <c16:uniqueId val="{00000007-EC73-48AB-BD54-F92B729F8758}"/>
              </c:ext>
            </c:extLst>
          </c:dPt>
          <c:dLbls>
            <c:dLbl>
              <c:idx val="0"/>
              <c:layout>
                <c:manualLayout>
                  <c:x val="-7.9193395977488201E-2"/>
                  <c:y val="2.6262626262626262E-2"/>
                </c:manualLayout>
              </c:layout>
              <c:tx>
                <c:rich>
                  <a:bodyPr/>
                  <a:lstStyle/>
                  <a:p>
                    <a:fld id="{B4436C23-F955-43FF-B0AA-86B28D5B7E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C73-48AB-BD54-F92B729F8758}"/>
                </c:ext>
              </c:extLst>
            </c:dLbl>
            <c:dLbl>
              <c:idx val="1"/>
              <c:layout>
                <c:manualLayout>
                  <c:x val="-1.4665443699534852E-2"/>
                  <c:y val="2.8282828282828285E-2"/>
                </c:manualLayout>
              </c:layout>
              <c:tx>
                <c:rich>
                  <a:bodyPr/>
                  <a:lstStyle/>
                  <a:p>
                    <a:fld id="{D461CF8D-9DF8-48C6-A189-3A0CA8F7E4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C73-48AB-BD54-F92B729F8758}"/>
                </c:ext>
              </c:extLst>
            </c:dLbl>
            <c:dLbl>
              <c:idx val="2"/>
              <c:tx>
                <c:rich>
                  <a:bodyPr/>
                  <a:lstStyle/>
                  <a:p>
                    <a:fld id="{DB7BABEB-23BB-43AE-9F7A-1943B42C7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C73-48AB-BD54-F92B729F8758}"/>
                </c:ext>
              </c:extLst>
            </c:dLbl>
            <c:dLbl>
              <c:idx val="3"/>
              <c:delete val="1"/>
              <c:extLst>
                <c:ext xmlns:c15="http://schemas.microsoft.com/office/drawing/2012/chart" uri="{CE6537A1-D6FC-4f65-9D91-7224C49458BB}"/>
                <c:ext xmlns:c16="http://schemas.microsoft.com/office/drawing/2014/chart" uri="{C3380CC4-5D6E-409C-BE32-E72D297353CC}">
                  <c16:uniqueId val="{00000007-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Data'!$W$9:$W$12</c15:f>
                <c15:dlblRangeCache>
                  <c:ptCount val="4"/>
                  <c:pt idx="0">
                    <c:v>Kotonowaka, 9-5</c:v>
                  </c:pt>
                  <c:pt idx="1">
                    <c:v>Wakamotoharu, 10-4</c:v>
                  </c:pt>
                  <c:pt idx="2">
                    <c:v>Daieisho, 12-2</c:v>
                  </c:pt>
                  <c:pt idx="3">
                    <c:v>Tobizaru, 5-9</c:v>
                  </c:pt>
                </c15:dlblRangeCache>
              </c15:datalabelsRange>
            </c:ext>
            <c:ext xmlns:c16="http://schemas.microsoft.com/office/drawing/2014/chart" uri="{C3380CC4-5D6E-409C-BE32-E72D297353CC}">
              <c16:uniqueId val="{00000008-EC73-48AB-BD54-F92B729F8758}"/>
            </c:ext>
          </c:extLst>
        </c:ser>
        <c:ser>
          <c:idx val="5"/>
          <c:order val="4"/>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Pt>
            <c:idx val="1"/>
            <c:marker>
              <c:symbol val="none"/>
            </c:marker>
            <c:bubble3D val="0"/>
            <c:extLst>
              <c:ext xmlns:c16="http://schemas.microsoft.com/office/drawing/2014/chart" uri="{C3380CC4-5D6E-409C-BE32-E72D297353CC}">
                <c16:uniqueId val="{00000013-EC73-48AB-BD54-F92B729F8758}"/>
              </c:ext>
            </c:extLst>
          </c:dPt>
          <c:dPt>
            <c:idx val="2"/>
            <c:marker>
              <c:symbol val="none"/>
            </c:marker>
            <c:bubble3D val="0"/>
            <c:extLst>
              <c:ext xmlns:c16="http://schemas.microsoft.com/office/drawing/2014/chart" uri="{C3380CC4-5D6E-409C-BE32-E72D297353CC}">
                <c16:uniqueId val="{00000014-EC73-48AB-BD54-F92B729F8758}"/>
              </c:ext>
            </c:extLst>
          </c:dPt>
          <c:dPt>
            <c:idx val="3"/>
            <c:marker>
              <c:symbol val="none"/>
            </c:marker>
            <c:bubble3D val="0"/>
            <c:extLst>
              <c:ext xmlns:c16="http://schemas.microsoft.com/office/drawing/2014/chart" uri="{C3380CC4-5D6E-409C-BE32-E72D297353CC}">
                <c16:uniqueId val="{00000015-EC73-48AB-BD54-F92B729F8758}"/>
              </c:ext>
            </c:extLst>
          </c:dPt>
          <c:dPt>
            <c:idx val="4"/>
            <c:marker>
              <c:symbol val="none"/>
            </c:marker>
            <c:bubble3D val="0"/>
            <c:extLst>
              <c:ext xmlns:c16="http://schemas.microsoft.com/office/drawing/2014/chart" uri="{C3380CC4-5D6E-409C-BE32-E72D297353CC}">
                <c16:uniqueId val="{00000016-EC73-48AB-BD54-F92B729F8758}"/>
              </c:ext>
            </c:extLst>
          </c:dPt>
          <c:dPt>
            <c:idx val="5"/>
            <c:marker>
              <c:symbol val="none"/>
            </c:marker>
            <c:bubble3D val="0"/>
            <c:extLst>
              <c:ext xmlns:c16="http://schemas.microsoft.com/office/drawing/2014/chart" uri="{C3380CC4-5D6E-409C-BE32-E72D297353CC}">
                <c16:uniqueId val="{00000017-EC73-48AB-BD54-F92B729F8758}"/>
              </c:ext>
            </c:extLst>
          </c:dPt>
          <c:dPt>
            <c:idx val="6"/>
            <c:marker>
              <c:symbol val="none"/>
            </c:marker>
            <c:bubble3D val="0"/>
            <c:extLst>
              <c:ext xmlns:c16="http://schemas.microsoft.com/office/drawing/2014/chart" uri="{C3380CC4-5D6E-409C-BE32-E72D297353CC}">
                <c16:uniqueId val="{00000018-EC73-48AB-BD54-F92B729F8758}"/>
              </c:ext>
            </c:extLst>
          </c:dPt>
          <c:dPt>
            <c:idx val="7"/>
            <c:marker>
              <c:symbol val="none"/>
            </c:marker>
            <c:bubble3D val="0"/>
            <c:extLst>
              <c:ext xmlns:c16="http://schemas.microsoft.com/office/drawing/2014/chart" uri="{C3380CC4-5D6E-409C-BE32-E72D297353CC}">
                <c16:uniqueId val="{00000019-EC73-48AB-BD54-F92B729F8758}"/>
              </c:ext>
            </c:extLst>
          </c:dPt>
          <c:dLbls>
            <c:dLbl>
              <c:idx val="0"/>
              <c:tx>
                <c:rich>
                  <a:bodyPr/>
                  <a:lstStyle/>
                  <a:p>
                    <a:fld id="{9927FCEF-7867-4F42-BF88-C9DC21978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C73-48AB-BD54-F92B729F8758}"/>
                </c:ext>
              </c:extLst>
            </c:dLbl>
            <c:dLbl>
              <c:idx val="1"/>
              <c:delete val="1"/>
              <c:extLst>
                <c:ext xmlns:c15="http://schemas.microsoft.com/office/drawing/2012/chart" uri="{CE6537A1-D6FC-4f65-9D91-7224C49458BB}"/>
                <c:ext xmlns:c16="http://schemas.microsoft.com/office/drawing/2014/chart" uri="{C3380CC4-5D6E-409C-BE32-E72D297353CC}">
                  <c16:uniqueId val="{00000013-EC73-48AB-BD54-F92B729F8758}"/>
                </c:ext>
              </c:extLst>
            </c:dLbl>
            <c:dLbl>
              <c:idx val="2"/>
              <c:delete val="1"/>
              <c:extLst>
                <c:ext xmlns:c15="http://schemas.microsoft.com/office/drawing/2012/chart" uri="{CE6537A1-D6FC-4f65-9D91-7224C49458BB}"/>
                <c:ext xmlns:c16="http://schemas.microsoft.com/office/drawing/2014/chart" uri="{C3380CC4-5D6E-409C-BE32-E72D297353CC}">
                  <c16:uniqueId val="{00000014-EC73-48AB-BD54-F92B729F8758}"/>
                </c:ext>
              </c:extLst>
            </c:dLbl>
            <c:dLbl>
              <c:idx val="3"/>
              <c:delete val="1"/>
              <c:extLst>
                <c:ext xmlns:c15="http://schemas.microsoft.com/office/drawing/2012/chart" uri="{CE6537A1-D6FC-4f65-9D91-7224C49458BB}"/>
                <c:ext xmlns:c16="http://schemas.microsoft.com/office/drawing/2014/chart" uri="{C3380CC4-5D6E-409C-BE32-E72D297353CC}">
                  <c16:uniqueId val="{00000015-EC73-48AB-BD54-F92B729F8758}"/>
                </c:ext>
              </c:extLst>
            </c:dLbl>
            <c:dLbl>
              <c:idx val="4"/>
              <c:delete val="1"/>
              <c:extLst>
                <c:ext xmlns:c15="http://schemas.microsoft.com/office/drawing/2012/chart" uri="{CE6537A1-D6FC-4f65-9D91-7224C49458BB}"/>
                <c:ext xmlns:c16="http://schemas.microsoft.com/office/drawing/2014/chart" uri="{C3380CC4-5D6E-409C-BE32-E72D297353CC}">
                  <c16:uniqueId val="{00000016-EC73-48AB-BD54-F92B729F8758}"/>
                </c:ext>
              </c:extLst>
            </c:dLbl>
            <c:dLbl>
              <c:idx val="5"/>
              <c:delete val="1"/>
              <c:extLst>
                <c:ext xmlns:c15="http://schemas.microsoft.com/office/drawing/2012/chart" uri="{CE6537A1-D6FC-4f65-9D91-7224C49458BB}"/>
                <c:ext xmlns:c16="http://schemas.microsoft.com/office/drawing/2014/chart" uri="{C3380CC4-5D6E-409C-BE32-E72D297353CC}">
                  <c16:uniqueId val="{00000017-EC73-48AB-BD54-F92B729F8758}"/>
                </c:ext>
              </c:extLst>
            </c:dLbl>
            <c:dLbl>
              <c:idx val="6"/>
              <c:delete val="1"/>
              <c:extLst>
                <c:ext xmlns:c15="http://schemas.microsoft.com/office/drawing/2012/chart" uri="{CE6537A1-D6FC-4f65-9D91-7224C49458BB}"/>
                <c:ext xmlns:c16="http://schemas.microsoft.com/office/drawing/2014/chart" uri="{C3380CC4-5D6E-409C-BE32-E72D297353CC}">
                  <c16:uniqueId val="{00000018-EC73-48AB-BD54-F92B729F8758}"/>
                </c:ext>
              </c:extLst>
            </c:dLbl>
            <c:dLbl>
              <c:idx val="7"/>
              <c:delete val="1"/>
              <c:extLst>
                <c:ext xmlns:c15="http://schemas.microsoft.com/office/drawing/2012/chart" uri="{CE6537A1-D6FC-4f65-9D91-7224C49458BB}"/>
                <c:ext xmlns:c16="http://schemas.microsoft.com/office/drawing/2014/chart" uri="{C3380CC4-5D6E-409C-BE32-E72D297353CC}">
                  <c16:uniqueId val="{00000019-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Data'!$W$21:$W$28</c15:f>
                <c15:dlblRangeCache>
                  <c:ptCount val="8"/>
                  <c:pt idx="0">
                    <c:v>Midorifuji, 10-4</c:v>
                  </c:pt>
                  <c:pt idx="1">
                    <c:v>Kotoshoho, 6-8</c:v>
                  </c:pt>
                  <c:pt idx="2">
                    <c:v>Sadanoumi, 6-8</c:v>
                  </c:pt>
                  <c:pt idx="3">
                    <c:v>Endo, 9-5</c:v>
                  </c:pt>
                  <c:pt idx="4">
                    <c:v>Takayasu, 9-5</c:v>
                  </c:pt>
                  <c:pt idx="5">
                    <c:v>Hokutofuji, 7-7</c:v>
                  </c:pt>
                  <c:pt idx="6">
                    <c:v>Ura, 8-6</c:v>
                  </c:pt>
                  <c:pt idx="7">
                    <c:v>Ichiyamamoto, 4-10</c:v>
                  </c:pt>
                </c15:dlblRangeCache>
              </c15:datalabelsRange>
            </c:ext>
            <c:ext xmlns:c16="http://schemas.microsoft.com/office/drawing/2014/chart" uri="{C3380CC4-5D6E-409C-BE32-E72D297353CC}">
              <c16:uniqueId val="{0000001A-EC73-48AB-BD54-F92B729F8758}"/>
            </c:ext>
          </c:extLst>
        </c:ser>
        <c:ser>
          <c:idx val="6"/>
          <c:order val="5"/>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Pt>
            <c:idx val="0"/>
            <c:marker>
              <c:symbol val="none"/>
            </c:marker>
            <c:bubble3D val="0"/>
            <c:extLst>
              <c:ext xmlns:c16="http://schemas.microsoft.com/office/drawing/2014/chart" uri="{C3380CC4-5D6E-409C-BE32-E72D297353CC}">
                <c16:uniqueId val="{0000001B-EC73-48AB-BD54-F92B729F8758}"/>
              </c:ext>
            </c:extLst>
          </c:dPt>
          <c:dPt>
            <c:idx val="1"/>
            <c:marker>
              <c:symbol val="none"/>
            </c:marker>
            <c:bubble3D val="0"/>
            <c:extLst>
              <c:ext xmlns:c16="http://schemas.microsoft.com/office/drawing/2014/chart" uri="{C3380CC4-5D6E-409C-BE32-E72D297353CC}">
                <c16:uniqueId val="{0000001C-EC73-48AB-BD54-F92B729F8758}"/>
              </c:ext>
            </c:extLst>
          </c:dPt>
          <c:dPt>
            <c:idx val="2"/>
            <c:marker>
              <c:symbol val="none"/>
            </c:marker>
            <c:bubble3D val="0"/>
            <c:extLst>
              <c:ext xmlns:c16="http://schemas.microsoft.com/office/drawing/2014/chart" uri="{C3380CC4-5D6E-409C-BE32-E72D297353CC}">
                <c16:uniqueId val="{0000001D-EC73-48AB-BD54-F92B729F8758}"/>
              </c:ext>
            </c:extLst>
          </c:dPt>
          <c:dPt>
            <c:idx val="3"/>
            <c:marker>
              <c:symbol val="none"/>
            </c:marker>
            <c:bubble3D val="0"/>
            <c:extLst>
              <c:ext xmlns:c16="http://schemas.microsoft.com/office/drawing/2014/chart" uri="{C3380CC4-5D6E-409C-BE32-E72D297353CC}">
                <c16:uniqueId val="{0000001E-EC73-48AB-BD54-F92B729F8758}"/>
              </c:ext>
            </c:extLst>
          </c:dPt>
          <c:dPt>
            <c:idx val="4"/>
            <c:marker>
              <c:symbol val="none"/>
            </c:marker>
            <c:bubble3D val="0"/>
            <c:extLst>
              <c:ext xmlns:c16="http://schemas.microsoft.com/office/drawing/2014/chart" uri="{C3380CC4-5D6E-409C-BE32-E72D297353CC}">
                <c16:uniqueId val="{0000001F-EC73-48AB-BD54-F92B729F8758}"/>
              </c:ext>
            </c:extLst>
          </c:dPt>
          <c:dPt>
            <c:idx val="5"/>
            <c:marker>
              <c:symbol val="none"/>
            </c:marker>
            <c:bubble3D val="0"/>
            <c:extLst>
              <c:ext xmlns:c16="http://schemas.microsoft.com/office/drawing/2014/chart" uri="{C3380CC4-5D6E-409C-BE32-E72D297353CC}">
                <c16:uniqueId val="{00000020-EC73-48AB-BD54-F92B729F8758}"/>
              </c:ext>
            </c:extLst>
          </c:dPt>
          <c:dPt>
            <c:idx val="6"/>
            <c:marker>
              <c:symbol val="none"/>
            </c:marker>
            <c:bubble3D val="0"/>
            <c:extLst>
              <c:ext xmlns:c16="http://schemas.microsoft.com/office/drawing/2014/chart" uri="{C3380CC4-5D6E-409C-BE32-E72D297353CC}">
                <c16:uniqueId val="{00000021-EC73-48AB-BD54-F92B729F8758}"/>
              </c:ext>
            </c:extLst>
          </c:dPt>
          <c:dPt>
            <c:idx val="7"/>
            <c:marker>
              <c:symbol val="none"/>
            </c:marker>
            <c:bubble3D val="0"/>
            <c:extLst>
              <c:ext xmlns:c16="http://schemas.microsoft.com/office/drawing/2014/chart" uri="{C3380CC4-5D6E-409C-BE32-E72D297353CC}">
                <c16:uniqueId val="{00000022-EC73-48AB-BD54-F92B729F8758}"/>
              </c:ext>
            </c:extLst>
          </c:dPt>
          <c:dLbls>
            <c:dLbl>
              <c:idx val="0"/>
              <c:delete val="1"/>
              <c:extLst>
                <c:ext xmlns:c15="http://schemas.microsoft.com/office/drawing/2012/chart" uri="{CE6537A1-D6FC-4f65-9D91-7224C49458BB}"/>
                <c:ext xmlns:c16="http://schemas.microsoft.com/office/drawing/2014/chart" uri="{C3380CC4-5D6E-409C-BE32-E72D297353CC}">
                  <c16:uniqueId val="{0000001B-EC73-48AB-BD54-F92B729F8758}"/>
                </c:ext>
              </c:extLst>
            </c:dLbl>
            <c:dLbl>
              <c:idx val="1"/>
              <c:delete val="1"/>
              <c:extLst>
                <c:ext xmlns:c15="http://schemas.microsoft.com/office/drawing/2012/chart" uri="{CE6537A1-D6FC-4f65-9D91-7224C49458BB}"/>
                <c:ext xmlns:c16="http://schemas.microsoft.com/office/drawing/2014/chart" uri="{C3380CC4-5D6E-409C-BE32-E72D297353CC}">
                  <c16:uniqueId val="{0000001C-EC73-48AB-BD54-F92B729F8758}"/>
                </c:ext>
              </c:extLst>
            </c:dLbl>
            <c:dLbl>
              <c:idx val="2"/>
              <c:delete val="1"/>
              <c:extLst>
                <c:ext xmlns:c15="http://schemas.microsoft.com/office/drawing/2012/chart" uri="{CE6537A1-D6FC-4f65-9D91-7224C49458BB}"/>
                <c:ext xmlns:c16="http://schemas.microsoft.com/office/drawing/2014/chart" uri="{C3380CC4-5D6E-409C-BE32-E72D297353CC}">
                  <c16:uniqueId val="{0000001D-EC73-48AB-BD54-F92B729F8758}"/>
                </c:ext>
              </c:extLst>
            </c:dLbl>
            <c:dLbl>
              <c:idx val="3"/>
              <c:delete val="1"/>
              <c:extLst>
                <c:ext xmlns:c15="http://schemas.microsoft.com/office/drawing/2012/chart" uri="{CE6537A1-D6FC-4f65-9D91-7224C49458BB}"/>
                <c:ext xmlns:c16="http://schemas.microsoft.com/office/drawing/2014/chart" uri="{C3380CC4-5D6E-409C-BE32-E72D297353CC}">
                  <c16:uniqueId val="{0000001E-EC73-48AB-BD54-F92B729F8758}"/>
                </c:ext>
              </c:extLst>
            </c:dLbl>
            <c:dLbl>
              <c:idx val="4"/>
              <c:delete val="1"/>
              <c:extLst>
                <c:ext xmlns:c15="http://schemas.microsoft.com/office/drawing/2012/chart" uri="{CE6537A1-D6FC-4f65-9D91-7224C49458BB}"/>
                <c:ext xmlns:c16="http://schemas.microsoft.com/office/drawing/2014/chart" uri="{C3380CC4-5D6E-409C-BE32-E72D297353CC}">
                  <c16:uniqueId val="{0000001F-EC73-48AB-BD54-F92B729F8758}"/>
                </c:ext>
              </c:extLst>
            </c:dLbl>
            <c:dLbl>
              <c:idx val="5"/>
              <c:delete val="1"/>
              <c:extLst>
                <c:ext xmlns:c15="http://schemas.microsoft.com/office/drawing/2012/chart" uri="{CE6537A1-D6FC-4f65-9D91-7224C49458BB}"/>
                <c:ext xmlns:c16="http://schemas.microsoft.com/office/drawing/2014/chart" uri="{C3380CC4-5D6E-409C-BE32-E72D297353CC}">
                  <c16:uniqueId val="{00000020-EC73-48AB-BD54-F92B729F8758}"/>
                </c:ext>
              </c:extLst>
            </c:dLbl>
            <c:dLbl>
              <c:idx val="6"/>
              <c:delete val="1"/>
              <c:extLst>
                <c:ext xmlns:c15="http://schemas.microsoft.com/office/drawing/2012/chart" uri="{CE6537A1-D6FC-4f65-9D91-7224C49458BB}"/>
                <c:ext xmlns:c16="http://schemas.microsoft.com/office/drawing/2014/chart" uri="{C3380CC4-5D6E-409C-BE32-E72D297353CC}">
                  <c16:uniqueId val="{00000021-EC73-48AB-BD54-F92B729F8758}"/>
                </c:ext>
              </c:extLst>
            </c:dLbl>
            <c:dLbl>
              <c:idx val="7"/>
              <c:delete val="1"/>
              <c:extLst>
                <c:ext xmlns:c15="http://schemas.microsoft.com/office/drawing/2012/chart" uri="{CE6537A1-D6FC-4f65-9D91-7224C49458BB}"/>
                <c:ext xmlns:c16="http://schemas.microsoft.com/office/drawing/2014/chart" uri="{C3380CC4-5D6E-409C-BE32-E72D297353CC}">
                  <c16:uniqueId val="{00000022-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6="http://schemas.microsoft.com/office/drawing/2014/chart" uri="{C3380CC4-5D6E-409C-BE32-E72D297353CC}">
              <c16:uniqueId val="{00000023-EC73-48AB-BD54-F92B729F8758}"/>
            </c:ext>
          </c:extLst>
        </c:ser>
        <c:ser>
          <c:idx val="7"/>
          <c:order val="6"/>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Pt>
            <c:idx val="0"/>
            <c:marker>
              <c:symbol val="none"/>
            </c:marker>
            <c:bubble3D val="0"/>
            <c:extLst>
              <c:ext xmlns:c16="http://schemas.microsoft.com/office/drawing/2014/chart" uri="{C3380CC4-5D6E-409C-BE32-E72D297353CC}">
                <c16:uniqueId val="{00000024-EC73-48AB-BD54-F92B729F8758}"/>
              </c:ext>
            </c:extLst>
          </c:dPt>
          <c:dPt>
            <c:idx val="1"/>
            <c:marker>
              <c:symbol val="none"/>
            </c:marker>
            <c:bubble3D val="0"/>
            <c:extLst>
              <c:ext xmlns:c16="http://schemas.microsoft.com/office/drawing/2014/chart" uri="{C3380CC4-5D6E-409C-BE32-E72D297353CC}">
                <c16:uniqueId val="{00000025-EC73-48AB-BD54-F92B729F8758}"/>
              </c:ext>
            </c:extLst>
          </c:dPt>
          <c:dPt>
            <c:idx val="3"/>
            <c:marker>
              <c:symbol val="none"/>
            </c:marker>
            <c:bubble3D val="0"/>
            <c:extLst>
              <c:ext xmlns:c16="http://schemas.microsoft.com/office/drawing/2014/chart" uri="{C3380CC4-5D6E-409C-BE32-E72D297353CC}">
                <c16:uniqueId val="{00000027-EC73-48AB-BD54-F92B729F8758}"/>
              </c:ext>
            </c:extLst>
          </c:dPt>
          <c:dPt>
            <c:idx val="4"/>
            <c:marker>
              <c:symbol val="none"/>
            </c:marker>
            <c:bubble3D val="0"/>
            <c:extLst>
              <c:ext xmlns:c16="http://schemas.microsoft.com/office/drawing/2014/chart" uri="{C3380CC4-5D6E-409C-BE32-E72D297353CC}">
                <c16:uniqueId val="{00000028-EC73-48AB-BD54-F92B729F8758}"/>
              </c:ext>
            </c:extLst>
          </c:dPt>
          <c:dPt>
            <c:idx val="5"/>
            <c:marker>
              <c:symbol val="none"/>
            </c:marker>
            <c:bubble3D val="0"/>
            <c:extLst>
              <c:ext xmlns:c16="http://schemas.microsoft.com/office/drawing/2014/chart" uri="{C3380CC4-5D6E-409C-BE32-E72D297353CC}">
                <c16:uniqueId val="{00000029-EC73-48AB-BD54-F92B729F8758}"/>
              </c:ext>
            </c:extLst>
          </c:dPt>
          <c:dPt>
            <c:idx val="6"/>
            <c:marker>
              <c:symbol val="none"/>
            </c:marker>
            <c:bubble3D val="0"/>
            <c:extLst>
              <c:ext xmlns:c16="http://schemas.microsoft.com/office/drawing/2014/chart" uri="{C3380CC4-5D6E-409C-BE32-E72D297353CC}">
                <c16:uniqueId val="{0000002A-EC73-48AB-BD54-F92B729F8758}"/>
              </c:ext>
            </c:extLst>
          </c:dPt>
          <c:dPt>
            <c:idx val="7"/>
            <c:marker>
              <c:symbol val="none"/>
            </c:marker>
            <c:bubble3D val="0"/>
            <c:extLst>
              <c:ext xmlns:c16="http://schemas.microsoft.com/office/drawing/2014/chart" uri="{C3380CC4-5D6E-409C-BE32-E72D297353CC}">
                <c16:uniqueId val="{0000002B-EC73-48AB-BD54-F92B729F8758}"/>
              </c:ext>
            </c:extLst>
          </c:dPt>
          <c:dPt>
            <c:idx val="8"/>
            <c:marker>
              <c:symbol val="none"/>
            </c:marker>
            <c:bubble3D val="0"/>
            <c:extLst>
              <c:ext xmlns:c16="http://schemas.microsoft.com/office/drawing/2014/chart" uri="{C3380CC4-5D6E-409C-BE32-E72D297353CC}">
                <c16:uniqueId val="{0000002C-EC73-48AB-BD54-F92B729F8758}"/>
              </c:ext>
            </c:extLst>
          </c:dPt>
          <c:dLbls>
            <c:dLbl>
              <c:idx val="0"/>
              <c:delete val="1"/>
              <c:extLst>
                <c:ext xmlns:c15="http://schemas.microsoft.com/office/drawing/2012/chart" uri="{CE6537A1-D6FC-4f65-9D91-7224C49458BB}"/>
                <c:ext xmlns:c16="http://schemas.microsoft.com/office/drawing/2014/chart" uri="{C3380CC4-5D6E-409C-BE32-E72D297353CC}">
                  <c16:uniqueId val="{00000024-EC73-48AB-BD54-F92B729F8758}"/>
                </c:ext>
              </c:extLst>
            </c:dLbl>
            <c:dLbl>
              <c:idx val="1"/>
              <c:delete val="1"/>
              <c:extLst>
                <c:ext xmlns:c15="http://schemas.microsoft.com/office/drawing/2012/chart" uri="{CE6537A1-D6FC-4f65-9D91-7224C49458BB}"/>
                <c:ext xmlns:c16="http://schemas.microsoft.com/office/drawing/2014/chart" uri="{C3380CC4-5D6E-409C-BE32-E72D297353CC}">
                  <c16:uniqueId val="{00000025-EC73-48AB-BD54-F92B729F8758}"/>
                </c:ext>
              </c:extLst>
            </c:dLbl>
            <c:dLbl>
              <c:idx val="2"/>
              <c:layout>
                <c:manualLayout>
                  <c:x val="-4.3996331098604555E-2"/>
                  <c:y val="-2.6262626262626262E-2"/>
                </c:manualLayout>
              </c:layout>
              <c:tx>
                <c:rich>
                  <a:bodyPr/>
                  <a:lstStyle/>
                  <a:p>
                    <a:fld id="{FF363A1F-C76C-42F2-8DFA-FF51AA58D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C73-48AB-BD54-F92B729F8758}"/>
                </c:ext>
              </c:extLst>
            </c:dLbl>
            <c:dLbl>
              <c:idx val="3"/>
              <c:delete val="1"/>
              <c:extLst>
                <c:ext xmlns:c15="http://schemas.microsoft.com/office/drawing/2012/chart" uri="{CE6537A1-D6FC-4f65-9D91-7224C49458BB}"/>
                <c:ext xmlns:c16="http://schemas.microsoft.com/office/drawing/2014/chart" uri="{C3380CC4-5D6E-409C-BE32-E72D297353CC}">
                  <c16:uniqueId val="{00000027-EC73-48AB-BD54-F92B729F8758}"/>
                </c:ext>
              </c:extLst>
            </c:dLbl>
            <c:dLbl>
              <c:idx val="4"/>
              <c:delete val="1"/>
              <c:extLst>
                <c:ext xmlns:c15="http://schemas.microsoft.com/office/drawing/2012/chart" uri="{CE6537A1-D6FC-4f65-9D91-7224C49458BB}"/>
                <c:ext xmlns:c16="http://schemas.microsoft.com/office/drawing/2014/chart" uri="{C3380CC4-5D6E-409C-BE32-E72D297353CC}">
                  <c16:uniqueId val="{00000028-EC73-48AB-BD54-F92B729F8758}"/>
                </c:ext>
              </c:extLst>
            </c:dLbl>
            <c:dLbl>
              <c:idx val="5"/>
              <c:delete val="1"/>
              <c:extLst>
                <c:ext xmlns:c15="http://schemas.microsoft.com/office/drawing/2012/chart" uri="{CE6537A1-D6FC-4f65-9D91-7224C49458BB}"/>
                <c:ext xmlns:c16="http://schemas.microsoft.com/office/drawing/2014/chart" uri="{C3380CC4-5D6E-409C-BE32-E72D297353CC}">
                  <c16:uniqueId val="{00000029-EC73-48AB-BD54-F92B729F8758}"/>
                </c:ext>
              </c:extLst>
            </c:dLbl>
            <c:dLbl>
              <c:idx val="6"/>
              <c:delete val="1"/>
              <c:extLst>
                <c:ext xmlns:c15="http://schemas.microsoft.com/office/drawing/2012/chart" uri="{CE6537A1-D6FC-4f65-9D91-7224C49458BB}"/>
                <c:ext xmlns:c16="http://schemas.microsoft.com/office/drawing/2014/chart" uri="{C3380CC4-5D6E-409C-BE32-E72D297353CC}">
                  <c16:uniqueId val="{0000002A-EC73-48AB-BD54-F92B729F8758}"/>
                </c:ext>
              </c:extLst>
            </c:dLbl>
            <c:dLbl>
              <c:idx val="7"/>
              <c:delete val="1"/>
              <c:extLst>
                <c:ext xmlns:c15="http://schemas.microsoft.com/office/drawing/2012/chart" uri="{CE6537A1-D6FC-4f65-9D91-7224C49458BB}"/>
                <c:ext xmlns:c16="http://schemas.microsoft.com/office/drawing/2014/chart" uri="{C3380CC4-5D6E-409C-BE32-E72D297353CC}">
                  <c16:uniqueId val="{0000002B-EC73-48AB-BD54-F92B729F8758}"/>
                </c:ext>
              </c:extLst>
            </c:dLbl>
            <c:dLbl>
              <c:idx val="8"/>
              <c:delete val="1"/>
              <c:extLst>
                <c:ext xmlns:c15="http://schemas.microsoft.com/office/drawing/2012/chart" uri="{CE6537A1-D6FC-4f65-9D91-7224C49458BB}"/>
                <c:ext xmlns:c16="http://schemas.microsoft.com/office/drawing/2014/chart" uri="{C3380CC4-5D6E-409C-BE32-E72D297353CC}">
                  <c16:uniqueId val="{0000002C-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Data'!$W$37:$W$45</c15:f>
                <c15:dlblRangeCache>
                  <c:ptCount val="9"/>
                  <c:pt idx="0">
                    <c:v>Kotoeko, 8-6</c:v>
                  </c:pt>
                  <c:pt idx="1">
                    <c:v>Daishoho, 8-6</c:v>
                  </c:pt>
                  <c:pt idx="2">
                    <c:v>Kinbozan, 10-4</c:v>
                  </c:pt>
                  <c:pt idx="3">
                    <c:v>Bushozan, 4-10</c:v>
                  </c:pt>
                  <c:pt idx="4">
                    <c:v>Oho, 7-7</c:v>
                  </c:pt>
                  <c:pt idx="5">
                    <c:v>Hokuseiho, 8-6</c:v>
                  </c:pt>
                  <c:pt idx="6">
                    <c:v>Chiyoshoma, 9-5</c:v>
                  </c:pt>
                  <c:pt idx="7">
                    <c:v>Tsurugisho, 7-7</c:v>
                  </c:pt>
                  <c:pt idx="8">
                    <c:v>Mitoryu, 7-7</c:v>
                  </c:pt>
                </c15:dlblRangeCache>
              </c15:datalabelsRange>
            </c:ext>
            <c:ext xmlns:c16="http://schemas.microsoft.com/office/drawing/2014/chart" uri="{C3380CC4-5D6E-409C-BE32-E72D297353CC}">
              <c16:uniqueId val="{0000002D-EC73-48AB-BD54-F92B729F8758}"/>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1.319889932958147E-2"/>
                        <c:y val="-2.422708093594169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4FAC22B6-E997-4746-B6AC-EC30924D8B24}" type="CELLREF">
                            <a:rPr lang="en-US"/>
                            <a:pPr>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uri="{CE6537A1-D6FC-4f65-9D91-7224C49458BB}">
                        <c15:layout>
                          <c:manualLayout>
                            <c:w val="9.3719460223910145E-2"/>
                            <c:h val="4.0476029103956944E-2"/>
                          </c:manualLayout>
                        </c15:layout>
                        <c15:dlblFieldTable>
                          <c15:dlblFTEntry>
                            <c15:txfldGUID>{4FAC22B6-E997-4746-B6AC-EC30924D8B24}</c15:txfldGUID>
                            <c15:f>'March 2023 Data'!$A$4</c15:f>
                            <c15:dlblFieldTableCache>
                              <c:ptCount val="1"/>
                              <c:pt idx="0">
                                <c:v>Terunofuji</c:v>
                              </c:pt>
                            </c15:dlblFieldTableCache>
                          </c15:dlblFTEntry>
                        </c15:dlblFieldTable>
                        <c15:showDataLabelsRange val="1"/>
                      </c:ext>
                      <c:ext xmlns:c16="http://schemas.microsoft.com/office/drawing/2014/chart" uri="{C3380CC4-5D6E-409C-BE32-E72D297353CC}">
                        <c16:uniqueId val="{0000002E-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0"/>
                    </c:ext>
                  </c:extLst>
                </c:dLbls>
                <c:xVal>
                  <c:numRef>
                    <c:extLst>
                      <c:ext uri="{02D57815-91ED-43cb-92C2-25804820EDAC}">
                        <c15:formulaRef>
                          <c15:sqref>'March 2023 Data'!$J$4</c15:sqref>
                        </c15:formulaRef>
                      </c:ext>
                    </c:extLst>
                    <c:numCache>
                      <c:formatCode>General</c:formatCode>
                      <c:ptCount val="1"/>
                      <c:pt idx="0">
                        <c:v>180</c:v>
                      </c:pt>
                    </c:numCache>
                  </c:numRef>
                </c:xVal>
                <c:yVal>
                  <c:numRef>
                    <c:extLst>
                      <c:ext uri="{02D57815-91ED-43cb-92C2-25804820EDAC}">
                        <c15:formulaRef>
                          <c15:sqref>'March 2023 Data'!$I$4</c15:sqref>
                        </c15:formulaRef>
                      </c:ext>
                    </c:extLst>
                    <c:numCache>
                      <c:formatCode>General</c:formatCode>
                      <c:ptCount val="1"/>
                      <c:pt idx="0">
                        <c:v>192</c:v>
                      </c:pt>
                    </c:numCache>
                  </c:numRef>
                </c:yVal>
                <c:smooth val="0"/>
                <c:extLst>
                  <c:ext uri="{02D57815-91ED-43cb-92C2-25804820EDAC}">
                    <c15:datalabelsRange>
                      <c15:f>'March 2023 Data'!$W$4</c15:f>
                      <c15:dlblRangeCache>
                        <c:ptCount val="1"/>
                        <c:pt idx="0">
                          <c:v>Terunofuji, 0-0-14</c:v>
                        </c:pt>
                      </c15:dlblRangeCache>
                    </c15:datalabelsRange>
                  </c:ext>
                  <c:ext xmlns:c16="http://schemas.microsoft.com/office/drawing/2014/chart" uri="{C3380CC4-5D6E-409C-BE32-E72D297353CC}">
                    <c16:uniqueId val="{0000002F-EC73-48AB-BD54-F92B729F8758}"/>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C821B565-BDF2-40AB-9532-BEBA993707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EC73-48AB-BD54-F92B729F87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'March 2023 Data'!$J$5</c15:sqref>
                        </c15:formulaRef>
                      </c:ext>
                    </c:extLst>
                    <c:numCache>
                      <c:formatCode>General</c:formatCode>
                      <c:ptCount val="1"/>
                      <c:pt idx="0">
                        <c:v>165</c:v>
                      </c:pt>
                    </c:numCache>
                  </c:numRef>
                </c:xVal>
                <c:yVal>
                  <c:numRef>
                    <c:extLst xmlns:c15="http://schemas.microsoft.com/office/drawing/2012/chart">
                      <c:ext xmlns:c15="http://schemas.microsoft.com/office/drawing/2012/chart" uri="{02D57815-91ED-43cb-92C2-25804820EDAC}">
                        <c15:formulaRef>
                          <c15:sqref>'March 2023 Data'!$I$5</c15:sqref>
                        </c15:formulaRef>
                      </c:ext>
                    </c:extLst>
                    <c:numCache>
                      <c:formatCode>General</c:formatCode>
                      <c:ptCount val="1"/>
                      <c:pt idx="0">
                        <c:v>175</c:v>
                      </c:pt>
                    </c:numCache>
                  </c:numRef>
                </c:yVal>
                <c:smooth val="0"/>
                <c:extLst xmlns:c15="http://schemas.microsoft.com/office/drawing/2012/char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31-EC73-48AB-BD54-F92B729F8758}"/>
                  </c:ext>
                </c:extLst>
              </c15:ser>
            </c15:filteredScatterSeries>
          </c:ext>
        </c:extLst>
      </c:scatterChart>
      <c:valAx>
        <c:axId val="745971600"/>
        <c:scaling>
          <c:orientation val="minMax"/>
          <c:max val="18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ACA698C8-B3A3-4DEA-ABFA-BE99465AB6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49E734B8-789A-492E-A7E6-7EF8464971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8F3398CA-527B-47D6-8E64-F6F61E02DB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7EDCD502-3F8E-4656-99A1-9B0A620B06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C5718EC9-B96E-41F9-8F20-5145E85912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5F870392-A422-4845-BBD2-054337DD1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AFAC0E5A-D4EB-4C53-83D1-710AEC35E2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BE3E34BB-A1E9-4D5B-BEFB-EE25A3FD03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4D3561DD-AFEE-47F0-A71F-67DC0FE8CF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A8248BAC-AE9B-493E-885E-51F57CC08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5B374E45-B91B-43E2-9BF8-EB05BB2A2C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402A89FE-0EF7-4275-8598-14B46557C9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BFEA9A3A-C0D0-4285-B7C5-ACE7818FCC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653F1EDF-960B-455D-B241-27A2C0317A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1924647C-86E1-4A7C-B1B1-2C849FC706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5D5F8ED7-DE12-47AB-943F-F9F40B1696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1C10CBA6-5D4F-485D-A83E-4C345ED9BD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683C84E3-3578-4542-BF53-1E2B4CD70B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C82E9B6D-9D8B-4090-97B0-8BC16826A6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4F5EF4D1-0177-40B8-9D06-362A5CF6FC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B85A6035-2BBA-466B-A224-63D97CD0E6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7911D8B2-D0E6-421E-B7B9-1BA28EFEE0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C23FC841-1D38-440A-A95C-3AD4EA3E75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B35AB629-15AF-4AFC-ADEA-5F4212E0FA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00642746-B800-4688-AF95-94B1CFF91D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C0A1A4AF-AA02-4B21-8BA4-043F29C76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0E9AAD02-465D-4BE0-93F6-C60A8B6913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ED9DCBB5-00EF-40E6-BD60-AD09D6E358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85C82B00-69F3-42BE-9735-4746AC9F74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EC4E49FF-C335-4EA4-9870-21DB3A841B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63499A48-517F-42F9-978E-13BA585D34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9CF5B3A8-1413-418B-9157-9DBF68371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C2DC85F9-43E7-44CD-B767-19A172D7F3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BA7E3597-37F6-4A0C-ABD3-925EE451A9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76B585BB-A869-4970-855D-2E3EF552FD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D3D2C03E-B49F-4842-9E8C-573A4419C9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1FB83FEE-8B48-4D17-A21B-F1DDB3D5ED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9E671071-63BF-43E5-B450-6F050D2040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66F699F8-9242-4751-A84F-BBE9FE4CAA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B65E6897-E516-4CC4-9245-D8B212E449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7E59AE36-4AA9-4727-97C9-012D73EDAE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D0E0BFB4-16FC-4E91-8E7E-45342EC6BF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6988057F-2276-4145-B599-20C5F03884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0F281C07-BCCF-4ADC-8882-C25D3203B7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8107DC28-A129-4D2A-8EEC-D90A95925F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33E32C78-CFA6-448D-85EC-6C20957042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EB355AE9-BDA5-47C4-B394-74ECF872AE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ECE14DD1-2CF7-4368-A396-CDF2987821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5262E045-E433-466A-870E-5863A80ED5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E0FEB1AF-4BDC-46DB-9C64-D856DE0F00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5FDA21B8-4305-4DFA-85DE-A24F589580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6DAAC420-36B7-457F-9E8A-9844DE242F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2D582793-8F71-4882-99BB-219322489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FE684695-9689-4317-9733-DCBAE2C008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3BA8066F-97F8-4517-909A-ACA7979DE7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BD340BD9-D7FB-44F6-9F37-9B50D94C5C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1E969685-EFCC-4962-91F3-86874CF14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4B8E9D60-41A7-48E1-AE5A-78B3FC706B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476B9DC3-C7FA-4BAB-B45C-D784ECBB2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67FEDB6D-5988-4A37-8C5C-2B07F1A7AC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DD3C298A-B26F-4594-8031-2A2BF0FBE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57084C58-CC8C-409A-8580-6BF86D5AB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B3BD374E-F1B9-4C34-82BB-88C139AC5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0CA86531-85B2-4F96-AF5E-708D7BAD5A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96E9450A-F453-4CA9-88F2-95C6D0034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F7E44D41-3795-4A26-A2D2-F4770B4530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0AE7CFEB-A8A7-4C7D-B273-58326B399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9EB0CC4E-CAD6-49C9-80B9-904793F3150A}"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208D3E0D-FCFB-4476-B449-4148E97ED5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8BBCE65D-E4FB-466C-ABE2-60631328E9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xmlns:c15="http://schemas.microsoft.com/office/drawing/2012/char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xmlns:c15="http://schemas.microsoft.com/office/drawing/2012/char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D44E0F9E-91E5-44C0-8DEA-02E801538D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3326E738-6690-41C7-81D4-C44944AAA06C}"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D7B93C24-666E-48E4-AA67-9BECB413B7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xmlns:c15="http://schemas.microsoft.com/office/drawing/2012/char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xmlns:c15="http://schemas.microsoft.com/office/drawing/2012/char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E9D64BFE-C76D-44F7-B56B-CFD8531EBD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8C8E7D67-FF03-48AF-9EF9-7AFF96C037B7}"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8EF7C6D9-E6CD-4168-AA65-F95C53C77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E1D3AC4E-5002-4FDF-902B-B70F45495843}"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xmlns:c15="http://schemas.microsoft.com/office/drawing/2012/char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xmlns:c15="http://schemas.microsoft.com/office/drawing/2012/char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C44FDC54-0C2F-439C-B270-D8B92B53C62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747FE130-8C2A-4D4F-8190-39DEDE9109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C0BDDB01-85AC-4DA8-A64C-0F76D617F0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760CC011-180C-4441-9214-F0CCCFC05B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F400159E-57C8-42EC-97B3-ECBFF74B28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0D29ADDC-BFD2-42BC-8220-9B8101C00B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DD36B6CA-E940-47F3-ACB3-A309045814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A3FEDE8E-7E67-40A5-8A10-3A848BE418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xmlns:c15="http://schemas.microsoft.com/office/drawing/2012/char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xmlns:c15="http://schemas.microsoft.com/office/drawing/2012/char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A29A298F-8BC5-44D2-8EA6-7E41A29E40E7}"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5F75E430-2577-4B3F-991E-A958DE709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2C5475BB-8E01-4BB3-ABAD-E8DBE44FB5F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19F73F99-0B15-40E7-A61F-1EBE8D9FEB0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C905D256-74DA-4113-8001-D2EEB1C8E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CB5B703E-0FFD-45D6-8CFB-29ACACD2EB8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539B7A9B-041D-4205-A6DC-BEFC4ACB49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55DACF79-B4B7-49A2-AE09-47F6E32E0E15}"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xmlns:c15="http://schemas.microsoft.com/office/drawing/2012/char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xmlns:c15="http://schemas.microsoft.com/office/drawing/2012/char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January 2023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9.8258472786883502E-2"/>
                  <c:y val="-1.6202531645569639E-2"/>
                </c:manualLayout>
              </c:layout>
              <c:tx>
                <c:rich>
                  <a:bodyPr/>
                  <a:lstStyle/>
                  <a:p>
                    <a:fld id="{5421B54D-4C0B-4B1B-BDF3-4D0357A55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'January 2023 Data'!$H$4</c:f>
              <c:numCache>
                <c:formatCode>General</c:formatCode>
                <c:ptCount val="1"/>
                <c:pt idx="0">
                  <c:v>192</c:v>
                </c:pt>
              </c:numCache>
            </c:numRef>
          </c:yVal>
          <c:smooth val="0"/>
          <c:extLst>
            <c:ext xmlns:c15="http://schemas.microsoft.com/office/drawing/2012/chart" uri="{02D57815-91ED-43cb-92C2-25804820EDAC}">
              <c15:datalabelsRange>
                <c15:f>'January 2023 Data'!$A$4</c15:f>
                <c15:dlblRangeCache>
                  <c:ptCount val="1"/>
                  <c:pt idx="0">
                    <c:v>Terunofuji</c:v>
                  </c:pt>
                </c15:dlblRangeCache>
              </c15:datalabelsRange>
            </c:ext>
            <c:ext xmlns:c16="http://schemas.microsoft.com/office/drawing/2014/chart" uri="{C3380CC4-5D6E-409C-BE32-E72D297353CC}">
              <c16:uniqueId val="{00000001-4ACB-455E-9A96-A98653FFCF61}"/>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6EDBCE40-49C4-49EB-B8FB-8984AE8B4F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Data'!$I$5</c:f>
              <c:numCache>
                <c:formatCode>General</c:formatCode>
                <c:ptCount val="1"/>
                <c:pt idx="0">
                  <c:v>165</c:v>
                </c:pt>
              </c:numCache>
            </c:numRef>
          </c:xVal>
          <c:yVal>
            <c:numRef>
              <c:f>'January 2023 Data'!$H$5</c:f>
              <c:numCache>
                <c:formatCode>General</c:formatCode>
                <c:ptCount val="1"/>
                <c:pt idx="0">
                  <c:v>175</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3-4ACB-455E-9A96-A98653FFCF61}"/>
            </c:ext>
          </c:extLst>
        </c:ser>
        <c:ser>
          <c:idx val="2"/>
          <c:order val="2"/>
          <c:tx>
            <c:strRef>
              <c:f>'September 2022 Data'!$C$8</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B6EA0B1B-68EC-4F3F-A5D8-81C287F994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B-455E-9A96-A98653FFCF61}"/>
                </c:ext>
              </c:extLst>
            </c:dLbl>
            <c:dLbl>
              <c:idx val="1"/>
              <c:layout>
                <c:manualLayout>
                  <c:x val="-0.12465627144604627"/>
                  <c:y val="4.0506329113924053E-3"/>
                </c:manualLayout>
              </c:layout>
              <c:tx>
                <c:rich>
                  <a:bodyPr/>
                  <a:lstStyle/>
                  <a:p>
                    <a:fld id="{61489521-39F9-444C-9BE2-F14E9B4568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CB-455E-9A96-A98653FFCF61}"/>
                </c:ext>
              </c:extLst>
            </c:dLbl>
            <c:dLbl>
              <c:idx val="2"/>
              <c:layout>
                <c:manualLayout>
                  <c:x val="-1.4665443699534906E-2"/>
                  <c:y val="2.8354430379746835E-2"/>
                </c:manualLayout>
              </c:layout>
              <c:tx>
                <c:rich>
                  <a:bodyPr/>
                  <a:lstStyle/>
                  <a:p>
                    <a:fld id="{DDDB482C-C286-4DAD-B81D-7387F782C3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B-455E-9A96-A98653FFCF61}"/>
                </c:ext>
              </c:extLst>
            </c:dLbl>
            <c:dLbl>
              <c:idx val="3"/>
              <c:tx>
                <c:rich>
                  <a:bodyPr/>
                  <a:lstStyle/>
                  <a:p>
                    <a:fld id="{D308AF41-E846-4DFB-A0F5-4D405042EF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Data'!$I$6:$I$9</c:f>
              <c:numCache>
                <c:formatCode>General</c:formatCode>
                <c:ptCount val="4"/>
                <c:pt idx="0">
                  <c:v>163</c:v>
                </c:pt>
                <c:pt idx="1">
                  <c:v>135</c:v>
                </c:pt>
                <c:pt idx="2">
                  <c:v>146</c:v>
                </c:pt>
                <c:pt idx="3">
                  <c:v>182</c:v>
                </c:pt>
              </c:numCache>
            </c:numRef>
          </c:xVal>
          <c:yVal>
            <c:numRef>
              <c:f>'January 2023 Data'!$H$6:$H$9</c:f>
              <c:numCache>
                <c:formatCode>General</c:formatCode>
                <c:ptCount val="4"/>
                <c:pt idx="0">
                  <c:v>183</c:v>
                </c:pt>
                <c:pt idx="1">
                  <c:v>183</c:v>
                </c:pt>
                <c:pt idx="2">
                  <c:v>185</c:v>
                </c:pt>
                <c:pt idx="3">
                  <c:v>186</c:v>
                </c:pt>
              </c:numCache>
            </c:numRef>
          </c:yVal>
          <c:smooth val="0"/>
          <c:extLst>
            <c:ext xmlns:c15="http://schemas.microsoft.com/office/drawing/2012/chart" uri="{02D57815-91ED-43cb-92C2-25804820EDAC}">
              <c15:datalabelsRange>
                <c15:f>'January 2023 Data'!$A$6:$A$9</c15:f>
                <c15:dlblRangeCache>
                  <c:ptCount val="4"/>
                  <c:pt idx="0">
                    <c:v>Shodai</c:v>
                  </c:pt>
                  <c:pt idx="1">
                    <c:v>Wakatakakage</c:v>
                  </c:pt>
                  <c:pt idx="2">
                    <c:v>Hoshoryu</c:v>
                  </c:pt>
                  <c:pt idx="3">
                    <c:v>Takayasu</c:v>
                  </c:pt>
                </c15:dlblRangeCache>
              </c15:datalabelsRange>
            </c:ext>
            <c:ext xmlns:c16="http://schemas.microsoft.com/office/drawing/2014/chart" uri="{C3380CC4-5D6E-409C-BE32-E72D297353CC}">
              <c16:uniqueId val="{00000008-4ACB-455E-9A96-A98653FFCF61}"/>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6.746104101786031E-2"/>
                  <c:y val="-2.0253164556962026E-2"/>
                </c:manualLayout>
              </c:layout>
              <c:tx>
                <c:rich>
                  <a:bodyPr/>
                  <a:lstStyle/>
                  <a:p>
                    <a:fld id="{30CCBB2C-3C7D-4062-BF64-1A616B4EE0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CB-455E-9A96-A98653FFCF61}"/>
                </c:ext>
              </c:extLst>
            </c:dLbl>
            <c:dLbl>
              <c:idx val="1"/>
              <c:layout>
                <c:manualLayout>
                  <c:x val="-5.1329052948372034E-2"/>
                  <c:y val="3.4430379746835403E-2"/>
                </c:manualLayout>
              </c:layout>
              <c:tx>
                <c:rich>
                  <a:bodyPr/>
                  <a:lstStyle/>
                  <a:p>
                    <a:fld id="{8C491D27-E4FD-4614-A98D-668CCB4EA2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CB-455E-9A96-A98653FFCF61}"/>
                </c:ext>
              </c:extLst>
            </c:dLbl>
            <c:dLbl>
              <c:idx val="2"/>
              <c:tx>
                <c:rich>
                  <a:bodyPr/>
                  <a:lstStyle/>
                  <a:p>
                    <a:fld id="{E4A7359A-4AC3-4398-AA0F-D30AC969FE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B-455E-9A96-A98653FFCF61}"/>
                </c:ext>
              </c:extLst>
            </c:dLbl>
            <c:dLbl>
              <c:idx val="3"/>
              <c:tx>
                <c:rich>
                  <a:bodyPr/>
                  <a:lstStyle/>
                  <a:p>
                    <a:fld id="{CCA0482E-D21C-4743-ACAB-EA11B8D697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Data'!$I$10:$I$13</c:f>
              <c:numCache>
                <c:formatCode>General</c:formatCode>
                <c:ptCount val="4"/>
                <c:pt idx="0">
                  <c:v>142</c:v>
                </c:pt>
                <c:pt idx="1">
                  <c:v>172</c:v>
                </c:pt>
                <c:pt idx="2">
                  <c:v>158</c:v>
                </c:pt>
                <c:pt idx="3">
                  <c:v>146</c:v>
                </c:pt>
              </c:numCache>
            </c:numRef>
          </c:xVal>
          <c:yVal>
            <c:numRef>
              <c:f>'January 2023 Data'!$H$10:$H$13</c:f>
              <c:numCache>
                <c:formatCode>General</c:formatCode>
                <c:ptCount val="4"/>
                <c:pt idx="0">
                  <c:v>185</c:v>
                </c:pt>
                <c:pt idx="1">
                  <c:v>189</c:v>
                </c:pt>
                <c:pt idx="2">
                  <c:v>180</c:v>
                </c:pt>
                <c:pt idx="3">
                  <c:v>186</c:v>
                </c:pt>
              </c:numCache>
            </c:numRef>
          </c:yVal>
          <c:smooth val="0"/>
          <c:extLst>
            <c:ext xmlns:c15="http://schemas.microsoft.com/office/drawing/2012/chart" uri="{02D57815-91ED-43cb-92C2-25804820EDAC}">
              <c15:datalabelsRange>
                <c15:f>'January 2023 Data'!$A$10:$A$13</c15:f>
                <c15:dlblRangeCache>
                  <c:ptCount val="4"/>
                  <c:pt idx="0">
                    <c:v>Kiribayama</c:v>
                  </c:pt>
                  <c:pt idx="1">
                    <c:v>Kotonowaka</c:v>
                  </c:pt>
                  <c:pt idx="2">
                    <c:v>Meisei</c:v>
                  </c:pt>
                  <c:pt idx="3">
                    <c:v>Wakamotoharu</c:v>
                  </c:pt>
                </c15:dlblRangeCache>
              </c15:datalabelsRange>
            </c:ext>
            <c:ext xmlns:c16="http://schemas.microsoft.com/office/drawing/2014/chart" uri="{C3380CC4-5D6E-409C-BE32-E72D297353CC}">
              <c16:uniqueId val="{0000000D-4ACB-455E-9A96-A98653FFCF61}"/>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B2141C52-275B-4B8E-A199-D931174111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CB-455E-9A96-A98653FFCF61}"/>
                </c:ext>
              </c:extLst>
            </c:dLbl>
            <c:dLbl>
              <c:idx val="1"/>
              <c:tx>
                <c:rich>
                  <a:bodyPr/>
                  <a:lstStyle/>
                  <a:p>
                    <a:fld id="{F47907D9-0762-4B68-8568-4778E88C73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CB-455E-9A96-A98653FFCF61}"/>
                </c:ext>
              </c:extLst>
            </c:dLbl>
            <c:dLbl>
              <c:idx val="2"/>
              <c:tx>
                <c:rich>
                  <a:bodyPr/>
                  <a:lstStyle/>
                  <a:p>
                    <a:fld id="{826FA332-5D91-4645-BEC0-71C48E098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CB-455E-9A96-A98653FFCF61}"/>
                </c:ext>
              </c:extLst>
            </c:dLbl>
            <c:dLbl>
              <c:idx val="3"/>
              <c:layout>
                <c:manualLayout>
                  <c:x val="-2.1998165549302385E-2"/>
                  <c:y val="-4.860759493670886E-2"/>
                </c:manualLayout>
              </c:layout>
              <c:tx>
                <c:rich>
                  <a:bodyPr/>
                  <a:lstStyle/>
                  <a:p>
                    <a:fld id="{4E427BB2-B675-4F5B-8334-C871E8DCC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CB-455E-9A96-A98653FFCF61}"/>
                </c:ext>
              </c:extLst>
            </c:dLbl>
            <c:dLbl>
              <c:idx val="4"/>
              <c:tx>
                <c:rich>
                  <a:bodyPr/>
                  <a:lstStyle/>
                  <a:p>
                    <a:fld id="{3EA1342E-FA17-4ED1-85B1-3814DB295F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CB-455E-9A96-A98653FFCF61}"/>
                </c:ext>
              </c:extLst>
            </c:dLbl>
            <c:dLbl>
              <c:idx val="5"/>
              <c:tx>
                <c:rich>
                  <a:bodyPr/>
                  <a:lstStyle/>
                  <a:p>
                    <a:fld id="{5743B8F4-A10F-4949-8135-6AEE7CB9C6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CB-455E-9A96-A98653FFCF61}"/>
                </c:ext>
              </c:extLst>
            </c:dLbl>
            <c:dLbl>
              <c:idx val="6"/>
              <c:tx>
                <c:rich>
                  <a:bodyPr/>
                  <a:lstStyle/>
                  <a:p>
                    <a:fld id="{BC6FBABD-C2EC-46F3-9507-0A4E73D2FC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CB-455E-9A96-A98653FFCF61}"/>
                </c:ext>
              </c:extLst>
            </c:dLbl>
            <c:dLbl>
              <c:idx val="7"/>
              <c:layout>
                <c:manualLayout>
                  <c:x val="-7.3327218497674261E-3"/>
                  <c:y val="-3.0379746835443037E-2"/>
                </c:manualLayout>
              </c:layout>
              <c:tx>
                <c:rich>
                  <a:bodyPr/>
                  <a:lstStyle/>
                  <a:p>
                    <a:fld id="{6C31B5F9-4EEB-4272-BC79-EB903A3F60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Data'!$I$14:$I$21</c:f>
              <c:numCache>
                <c:formatCode>General</c:formatCode>
                <c:ptCount val="8"/>
                <c:pt idx="0">
                  <c:v>165</c:v>
                </c:pt>
                <c:pt idx="1">
                  <c:v>130</c:v>
                </c:pt>
                <c:pt idx="2">
                  <c:v>174</c:v>
                </c:pt>
                <c:pt idx="3">
                  <c:v>174</c:v>
                </c:pt>
                <c:pt idx="4">
                  <c:v>117</c:v>
                </c:pt>
                <c:pt idx="5">
                  <c:v>159</c:v>
                </c:pt>
                <c:pt idx="6">
                  <c:v>144</c:v>
                </c:pt>
                <c:pt idx="7">
                  <c:v>155</c:v>
                </c:pt>
              </c:numCache>
            </c:numRef>
          </c:xVal>
          <c:yVal>
            <c:numRef>
              <c:f>'January 2023 Data'!$H$14:$H$21</c:f>
              <c:numCache>
                <c:formatCode>General</c:formatCode>
                <c:ptCount val="8"/>
                <c:pt idx="0">
                  <c:v>182</c:v>
                </c:pt>
                <c:pt idx="1">
                  <c:v>174</c:v>
                </c:pt>
                <c:pt idx="2">
                  <c:v>179</c:v>
                </c:pt>
                <c:pt idx="3">
                  <c:v>189</c:v>
                </c:pt>
                <c:pt idx="4">
                  <c:v>171</c:v>
                </c:pt>
                <c:pt idx="5">
                  <c:v>187</c:v>
                </c:pt>
                <c:pt idx="6">
                  <c:v>182</c:v>
                </c:pt>
                <c:pt idx="7">
                  <c:v>184</c:v>
                </c:pt>
              </c:numCache>
            </c:numRef>
          </c:yVal>
          <c:smooth val="0"/>
          <c:extLst>
            <c:ext xmlns:c15="http://schemas.microsoft.com/office/drawing/2012/chart" uri="{02D57815-91ED-43cb-92C2-25804820EDAC}">
              <c15:datalabelsRange>
                <c15:f>'January 2023 Data'!$A$14:$A$21</c15:f>
                <c15:dlblRangeCache>
                  <c:ptCount val="8"/>
                  <c:pt idx="0">
                    <c:v>Daieisho</c:v>
                  </c:pt>
                  <c:pt idx="1">
                    <c:v>Tobizaru</c:v>
                  </c:pt>
                  <c:pt idx="2">
                    <c:v>Mitakeumi</c:v>
                  </c:pt>
                  <c:pt idx="3">
                    <c:v>Tamawashi</c:v>
                  </c:pt>
                  <c:pt idx="4">
                    <c:v>Midorifuji</c:v>
                  </c:pt>
                  <c:pt idx="5">
                    <c:v>Abi</c:v>
                  </c:pt>
                  <c:pt idx="6">
                    <c:v>Sadanoumi</c:v>
                  </c:pt>
                  <c:pt idx="7">
                    <c:v>Nishikifuji</c:v>
                  </c:pt>
                </c15:dlblRangeCache>
              </c15:datalabelsRange>
            </c:ext>
            <c:ext xmlns:c16="http://schemas.microsoft.com/office/drawing/2014/chart" uri="{C3380CC4-5D6E-409C-BE32-E72D297353CC}">
              <c16:uniqueId val="{00000016-4ACB-455E-9A96-A98653FFCF61}"/>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54970E27-171D-4121-8D98-AF60EC8B26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CB-455E-9A96-A98653FFCF61}"/>
                </c:ext>
              </c:extLst>
            </c:dLbl>
            <c:dLbl>
              <c:idx val="1"/>
              <c:layout>
                <c:manualLayout>
                  <c:x val="-7.4793762867627803E-2"/>
                  <c:y val="-2.6329113924050671E-2"/>
                </c:manualLayout>
              </c:layout>
              <c:tx>
                <c:rich>
                  <a:bodyPr/>
                  <a:lstStyle/>
                  <a:p>
                    <a:fld id="{49503034-4055-4F94-8071-E5A075B182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CB-455E-9A96-A98653FFCF61}"/>
                </c:ext>
              </c:extLst>
            </c:dLbl>
            <c:dLbl>
              <c:idx val="2"/>
              <c:layout>
                <c:manualLayout>
                  <c:x val="-6.746104101786031E-2"/>
                  <c:y val="6.2784810126582283E-2"/>
                </c:manualLayout>
              </c:layout>
              <c:tx>
                <c:rich>
                  <a:bodyPr/>
                  <a:lstStyle/>
                  <a:p>
                    <a:fld id="{14F6A4AB-19A3-4E51-9AA1-DD3E07B15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CB-455E-9A96-A98653FFCF61}"/>
                </c:ext>
              </c:extLst>
            </c:dLbl>
            <c:dLbl>
              <c:idx val="3"/>
              <c:layout>
                <c:manualLayout>
                  <c:x val="-7.7726851607534772E-2"/>
                  <c:y val="-8.1012658227848106E-3"/>
                </c:manualLayout>
              </c:layout>
              <c:tx>
                <c:rich>
                  <a:bodyPr/>
                  <a:lstStyle/>
                  <a:p>
                    <a:fld id="{87964533-6A78-4D9A-A0EF-E360003ED4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CB-455E-9A96-A98653FFCF61}"/>
                </c:ext>
              </c:extLst>
            </c:dLbl>
            <c:dLbl>
              <c:idx val="4"/>
              <c:tx>
                <c:rich>
                  <a:bodyPr/>
                  <a:lstStyle/>
                  <a:p>
                    <a:fld id="{C69BC7EB-34D3-40F6-8D49-4B44F492C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CB-455E-9A96-A98653FFCF61}"/>
                </c:ext>
              </c:extLst>
            </c:dLbl>
            <c:dLbl>
              <c:idx val="5"/>
              <c:tx>
                <c:rich>
                  <a:bodyPr/>
                  <a:lstStyle/>
                  <a:p>
                    <a:fld id="{8AACBFB8-81C4-46C9-A7E3-285DF31571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CB-455E-9A96-A98653FFCF61}"/>
                </c:ext>
              </c:extLst>
            </c:dLbl>
            <c:dLbl>
              <c:idx val="6"/>
              <c:tx>
                <c:rich>
                  <a:bodyPr/>
                  <a:lstStyle/>
                  <a:p>
                    <a:fld id="{345E4C76-5B42-4F3D-859A-8A158F66E0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CB-455E-9A96-A98653FFCF61}"/>
                </c:ext>
              </c:extLst>
            </c:dLbl>
            <c:dLbl>
              <c:idx val="7"/>
              <c:tx>
                <c:rich>
                  <a:bodyPr/>
                  <a:lstStyle/>
                  <a:p>
                    <a:fld id="{3D66E607-79E7-4086-9FFF-205310FAD9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Data'!$I$22:$I$29</c:f>
              <c:numCache>
                <c:formatCode>General</c:formatCode>
                <c:ptCount val="8"/>
                <c:pt idx="0">
                  <c:v>179</c:v>
                </c:pt>
                <c:pt idx="1">
                  <c:v>157</c:v>
                </c:pt>
                <c:pt idx="2">
                  <c:v>163</c:v>
                </c:pt>
                <c:pt idx="3">
                  <c:v>157</c:v>
                </c:pt>
                <c:pt idx="4">
                  <c:v>212</c:v>
                </c:pt>
                <c:pt idx="5">
                  <c:v>148</c:v>
                </c:pt>
                <c:pt idx="6">
                  <c:v>165</c:v>
                </c:pt>
                <c:pt idx="7">
                  <c:v>179</c:v>
                </c:pt>
              </c:numCache>
            </c:numRef>
          </c:xVal>
          <c:yVal>
            <c:numRef>
              <c:f>'January 2023 Data'!$H$22:$H$29</c:f>
              <c:numCache>
                <c:formatCode>General</c:formatCode>
                <c:ptCount val="8"/>
                <c:pt idx="0">
                  <c:v>184</c:v>
                </c:pt>
                <c:pt idx="1">
                  <c:v>187</c:v>
                </c:pt>
                <c:pt idx="2">
                  <c:v>184</c:v>
                </c:pt>
                <c:pt idx="3">
                  <c:v>189</c:v>
                </c:pt>
                <c:pt idx="4">
                  <c:v>190</c:v>
                </c:pt>
                <c:pt idx="5">
                  <c:v>175</c:v>
                </c:pt>
                <c:pt idx="6">
                  <c:v>178</c:v>
                </c:pt>
                <c:pt idx="7">
                  <c:v>189</c:v>
                </c:pt>
              </c:numCache>
            </c:numRef>
          </c:yVal>
          <c:smooth val="0"/>
          <c:extLst>
            <c:ext xmlns:c15="http://schemas.microsoft.com/office/drawing/2012/chart" uri="{02D57815-91ED-43cb-92C2-25804820EDAC}">
              <c15:datalabelsRange>
                <c15:f>'January 2023 Data'!$A$22:$A$29</c15:f>
                <c15:dlblRangeCache>
                  <c:ptCount val="8"/>
                  <c:pt idx="0">
                    <c:v>Nishikigi</c:v>
                  </c:pt>
                  <c:pt idx="1">
                    <c:v>Ryuden</c:v>
                  </c:pt>
                  <c:pt idx="2">
                    <c:v>Hokutofuji</c:v>
                  </c:pt>
                  <c:pt idx="3">
                    <c:v>Myogiryu</c:v>
                  </c:pt>
                  <c:pt idx="4">
                    <c:v>Ichinojo</c:v>
                  </c:pt>
                  <c:pt idx="5">
                    <c:v>Ura</c:v>
                  </c:pt>
                  <c:pt idx="6">
                    <c:v>Onosho</c:v>
                  </c:pt>
                  <c:pt idx="7">
                    <c:v>Oho</c:v>
                  </c:pt>
                </c15:dlblRangeCache>
              </c15:datalabelsRange>
            </c:ext>
            <c:ext xmlns:c16="http://schemas.microsoft.com/office/drawing/2014/chart" uri="{C3380CC4-5D6E-409C-BE32-E72D297353CC}">
              <c16:uniqueId val="{0000001F-4ACB-455E-9A96-A98653FFCF61}"/>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5E44300E-52EB-445E-B4BF-89C143D185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CB-455E-9A96-A98653FFCF61}"/>
                </c:ext>
              </c:extLst>
            </c:dLbl>
            <c:dLbl>
              <c:idx val="1"/>
              <c:tx>
                <c:rich>
                  <a:bodyPr/>
                  <a:lstStyle/>
                  <a:p>
                    <a:fld id="{F45909FF-0837-432E-96CA-1DCB4D3E5F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CB-455E-9A96-A98653FFCF61}"/>
                </c:ext>
              </c:extLst>
            </c:dLbl>
            <c:dLbl>
              <c:idx val="2"/>
              <c:tx>
                <c:rich>
                  <a:bodyPr/>
                  <a:lstStyle/>
                  <a:p>
                    <a:fld id="{785872F0-2111-40D1-8835-80EA9952A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CB-455E-9A96-A98653FFCF61}"/>
                </c:ext>
              </c:extLst>
            </c:dLbl>
            <c:dLbl>
              <c:idx val="3"/>
              <c:tx>
                <c:rich>
                  <a:bodyPr/>
                  <a:lstStyle/>
                  <a:p>
                    <a:fld id="{8F8DAE06-745A-4CC6-A36C-E0D7025F54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CB-455E-9A96-A98653FFCF61}"/>
                </c:ext>
              </c:extLst>
            </c:dLbl>
            <c:dLbl>
              <c:idx val="4"/>
              <c:layout>
                <c:manualLayout>
                  <c:x val="4.3996331098604558E-3"/>
                  <c:y val="-2.2278481012658228E-2"/>
                </c:manualLayout>
              </c:layout>
              <c:tx>
                <c:rich>
                  <a:bodyPr/>
                  <a:lstStyle/>
                  <a:p>
                    <a:fld id="{D283B981-3051-40CE-A01A-C2B56BA7DE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CB-455E-9A96-A98653FFCF61}"/>
                </c:ext>
              </c:extLst>
            </c:dLbl>
            <c:dLbl>
              <c:idx val="5"/>
              <c:layout>
                <c:manualLayout>
                  <c:x val="1.4665443699534851E-3"/>
                  <c:y val="2.0253164556962027E-3"/>
                </c:manualLayout>
              </c:layout>
              <c:tx>
                <c:rich>
                  <a:bodyPr/>
                  <a:lstStyle/>
                  <a:p>
                    <a:fld id="{478B60CC-9BD9-4628-A3ED-EEA01515CE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CB-455E-9A96-A98653FFCF61}"/>
                </c:ext>
              </c:extLst>
            </c:dLbl>
            <c:dLbl>
              <c:idx val="6"/>
              <c:layout>
                <c:manualLayout>
                  <c:x val="-8.2126484717395171E-2"/>
                  <c:y val="-5.8734177215189871E-2"/>
                </c:manualLayout>
              </c:layout>
              <c:tx>
                <c:rich>
                  <a:bodyPr/>
                  <a:lstStyle/>
                  <a:p>
                    <a:fld id="{817D129B-ADE7-43C9-A6FD-0E9AFEF150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CB-455E-9A96-A98653FFCF61}"/>
                </c:ext>
              </c:extLst>
            </c:dLbl>
            <c:dLbl>
              <c:idx val="7"/>
              <c:tx>
                <c:rich>
                  <a:bodyPr/>
                  <a:lstStyle/>
                  <a:p>
                    <a:fld id="{A7C9ABE8-0889-4AA9-B734-6DEA478326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Data'!$I$30:$I$37</c:f>
              <c:numCache>
                <c:formatCode>General</c:formatCode>
                <c:ptCount val="8"/>
                <c:pt idx="0">
                  <c:v>150</c:v>
                </c:pt>
                <c:pt idx="1">
                  <c:v>167</c:v>
                </c:pt>
                <c:pt idx="2">
                  <c:v>184</c:v>
                </c:pt>
                <c:pt idx="3">
                  <c:v>138</c:v>
                </c:pt>
                <c:pt idx="4">
                  <c:v>182</c:v>
                </c:pt>
                <c:pt idx="5">
                  <c:v>137</c:v>
                </c:pt>
                <c:pt idx="6">
                  <c:v>161</c:v>
                </c:pt>
                <c:pt idx="7">
                  <c:v>156</c:v>
                </c:pt>
              </c:numCache>
            </c:numRef>
          </c:xVal>
          <c:yVal>
            <c:numRef>
              <c:f>'January 2023 Data'!$H$30:$H$37</c:f>
              <c:numCache>
                <c:formatCode>General</c:formatCode>
                <c:ptCount val="8"/>
                <c:pt idx="0">
                  <c:v>183</c:v>
                </c:pt>
                <c:pt idx="1">
                  <c:v>184</c:v>
                </c:pt>
                <c:pt idx="2">
                  <c:v>190</c:v>
                </c:pt>
                <c:pt idx="3">
                  <c:v>178</c:v>
                </c:pt>
                <c:pt idx="4">
                  <c:v>192</c:v>
                </c:pt>
                <c:pt idx="5">
                  <c:v>183</c:v>
                </c:pt>
                <c:pt idx="6">
                  <c:v>189</c:v>
                </c:pt>
                <c:pt idx="7">
                  <c:v>193</c:v>
                </c:pt>
              </c:numCache>
            </c:numRef>
          </c:yVal>
          <c:smooth val="0"/>
          <c:extLst>
            <c:ext xmlns:c15="http://schemas.microsoft.com/office/drawing/2012/chart" uri="{02D57815-91ED-43cb-92C2-25804820EDAC}">
              <c15:datalabelsRange>
                <c15:f>'January 2023 Data'!$A$30:$A$37</c15:f>
                <c15:dlblRangeCache>
                  <c:ptCount val="8"/>
                  <c:pt idx="0">
                    <c:v>Endo</c:v>
                  </c:pt>
                  <c:pt idx="1">
                    <c:v>Takanosho</c:v>
                  </c:pt>
                  <c:pt idx="2">
                    <c:v>Aoiyama</c:v>
                  </c:pt>
                  <c:pt idx="3">
                    <c:v>Hiradoumi</c:v>
                  </c:pt>
                  <c:pt idx="4">
                    <c:v>Tochinoshin</c:v>
                  </c:pt>
                  <c:pt idx="5">
                    <c:v>Chiyoshoma</c:v>
                  </c:pt>
                  <c:pt idx="6">
                    <c:v>Okinoumi</c:v>
                  </c:pt>
                  <c:pt idx="7">
                    <c:v>Kagayaki</c:v>
                  </c:pt>
                </c15:dlblRangeCache>
              </c15:datalabelsRange>
            </c:ext>
            <c:ext xmlns:c16="http://schemas.microsoft.com/office/drawing/2014/chart" uri="{C3380CC4-5D6E-409C-BE32-E72D297353CC}">
              <c16:uniqueId val="{00000028-4ACB-455E-9A96-A98653FFCF61}"/>
            </c:ext>
          </c:extLst>
        </c:ser>
        <c:ser>
          <c:idx val="7"/>
          <c:order val="7"/>
          <c:tx>
            <c:v>M13-16</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layout>
                <c:manualLayout>
                  <c:x val="0"/>
                  <c:y val="-2.0253164556962026E-2"/>
                </c:manualLayout>
              </c:layout>
              <c:tx>
                <c:rich>
                  <a:bodyPr/>
                  <a:lstStyle/>
                  <a:p>
                    <a:fld id="{AFFF3123-F0E3-4648-9352-0C122070BC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CB-455E-9A96-A98653FFCF61}"/>
                </c:ext>
              </c:extLst>
            </c:dLbl>
            <c:dLbl>
              <c:idx val="1"/>
              <c:tx>
                <c:rich>
                  <a:bodyPr/>
                  <a:lstStyle/>
                  <a:p>
                    <a:fld id="{140B0478-4605-47FB-A182-C296EBD6A1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ACB-455E-9A96-A98653FFCF61}"/>
                </c:ext>
              </c:extLst>
            </c:dLbl>
            <c:dLbl>
              <c:idx val="2"/>
              <c:layout>
                <c:manualLayout>
                  <c:x val="-9.6791928416930045E-2"/>
                  <c:y val="-2.8354430379746873E-2"/>
                </c:manualLayout>
              </c:layout>
              <c:tx>
                <c:rich>
                  <a:bodyPr/>
                  <a:lstStyle/>
                  <a:p>
                    <a:fld id="{3834F20C-C7FC-46D5-82B8-E64BC757CA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CB-455E-9A96-A98653FFCF61}"/>
                </c:ext>
              </c:extLst>
            </c:dLbl>
            <c:dLbl>
              <c:idx val="3"/>
              <c:tx>
                <c:rich>
                  <a:bodyPr/>
                  <a:lstStyle/>
                  <a:p>
                    <a:fld id="{7FC921B0-9CCE-4F62-AF21-EA942CF189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ACB-455E-9A96-A98653FFCF61}"/>
                </c:ext>
              </c:extLst>
            </c:dLbl>
            <c:dLbl>
              <c:idx val="4"/>
              <c:tx>
                <c:rich>
                  <a:bodyPr/>
                  <a:lstStyle/>
                  <a:p>
                    <a:fld id="{C929BCF9-D88E-4DB3-8484-06E45B1D6E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ACB-455E-9A96-A98653FFCF61}"/>
                </c:ext>
              </c:extLst>
            </c:dLbl>
            <c:dLbl>
              <c:idx val="5"/>
              <c:tx>
                <c:rich>
                  <a:bodyPr/>
                  <a:lstStyle/>
                  <a:p>
                    <a:fld id="{D042C33C-2BAA-46F2-8C2C-4867688B6C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ACB-455E-9A96-A98653FFCF61}"/>
                </c:ext>
              </c:extLst>
            </c:dLbl>
            <c:dLbl>
              <c:idx val="6"/>
              <c:layout>
                <c:manualLayout>
                  <c:x val="-1.9065076809395308E-2"/>
                  <c:y val="-2.6329113924050632E-2"/>
                </c:manualLayout>
              </c:layout>
              <c:tx>
                <c:rich>
                  <a:bodyPr/>
                  <a:lstStyle/>
                  <a:p>
                    <a:fld id="{0069DBF2-074F-4E71-A965-B881348E82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CB-455E-9A96-A98653FFCF61}"/>
                </c:ext>
              </c:extLst>
            </c:dLbl>
            <c:dLbl>
              <c:idx val="7"/>
              <c:tx>
                <c:rich>
                  <a:bodyPr/>
                  <a:lstStyle/>
                  <a:p>
                    <a:fld id="{F417EE1A-F04B-4F91-A0FD-98387B63BA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Data'!$I$38:$I$45</c:f>
              <c:numCache>
                <c:formatCode>General</c:formatCode>
                <c:ptCount val="8"/>
                <c:pt idx="0">
                  <c:v>163</c:v>
                </c:pt>
                <c:pt idx="1">
                  <c:v>128</c:v>
                </c:pt>
                <c:pt idx="2">
                  <c:v>146</c:v>
                </c:pt>
                <c:pt idx="3">
                  <c:v>162</c:v>
                </c:pt>
                <c:pt idx="4">
                  <c:v>200</c:v>
                </c:pt>
                <c:pt idx="5">
                  <c:v>197</c:v>
                </c:pt>
                <c:pt idx="6">
                  <c:v>171</c:v>
                </c:pt>
                <c:pt idx="7">
                  <c:v>169</c:v>
                </c:pt>
              </c:numCache>
            </c:numRef>
          </c:xVal>
          <c:yVal>
            <c:numRef>
              <c:f>'January 2023 Data'!$H$38:$H$45</c:f>
              <c:numCache>
                <c:formatCode>General</c:formatCode>
                <c:ptCount val="8"/>
                <c:pt idx="0">
                  <c:v>189</c:v>
                </c:pt>
                <c:pt idx="1">
                  <c:v>176</c:v>
                </c:pt>
                <c:pt idx="2">
                  <c:v>187</c:v>
                </c:pt>
                <c:pt idx="3">
                  <c:v>191</c:v>
                </c:pt>
                <c:pt idx="4">
                  <c:v>184</c:v>
                </c:pt>
                <c:pt idx="5">
                  <c:v>190</c:v>
                </c:pt>
                <c:pt idx="6">
                  <c:v>186</c:v>
                </c:pt>
                <c:pt idx="7">
                  <c:v>177</c:v>
                </c:pt>
              </c:numCache>
            </c:numRef>
          </c:yVal>
          <c:smooth val="0"/>
          <c:extLst>
            <c:ext xmlns:c15="http://schemas.microsoft.com/office/drawing/2012/chart" uri="{02D57815-91ED-43cb-92C2-25804820EDAC}">
              <c15:datalabelsRange>
                <c15:f>'January 2023 Data'!$A$38:$A$45</c15:f>
                <c15:dlblRangeCache>
                  <c:ptCount val="8"/>
                  <c:pt idx="0">
                    <c:v>Kotoshoho</c:v>
                  </c:pt>
                  <c:pt idx="1">
                    <c:v>Kotoeko</c:v>
                  </c:pt>
                  <c:pt idx="2">
                    <c:v>Ichiyamamoto</c:v>
                  </c:pt>
                  <c:pt idx="3">
                    <c:v>Azumaryu</c:v>
                  </c:pt>
                  <c:pt idx="4">
                    <c:v>Tsurugisho</c:v>
                  </c:pt>
                  <c:pt idx="5">
                    <c:v>Mitoryu</c:v>
                  </c:pt>
                  <c:pt idx="6">
                    <c:v>Takarafuji</c:v>
                  </c:pt>
                  <c:pt idx="7">
                    <c:v>Chiyomaru</c:v>
                  </c:pt>
                </c15:dlblRangeCache>
              </c15:datalabelsRange>
            </c:ext>
            <c:ext xmlns:c16="http://schemas.microsoft.com/office/drawing/2014/chart" uri="{C3380CC4-5D6E-409C-BE32-E72D297353CC}">
              <c16:uniqueId val="{00000031-4ACB-455E-9A96-A98653FFCF61}"/>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Change in weight </a:t>
            </a:r>
          </a:p>
          <a:p>
            <a:pPr>
              <a:defRPr/>
            </a:pPr>
            <a:r>
              <a:rPr lang="en-US" sz="2000"/>
              <a:t>Nov 2022 - Jan 2023</a:t>
            </a:r>
          </a:p>
        </c:rich>
      </c:tx>
      <c:layout>
        <c:manualLayout>
          <c:xMode val="edge"/>
          <c:yMode val="edge"/>
          <c:x val="8.4981684981684985E-2"/>
          <c:y val="2.429149797570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89264803438036E-2"/>
          <c:y val="1.1118460900889414E-2"/>
          <c:w val="0.91769351907934582"/>
          <c:h val="0.90385970225381751"/>
        </c:manualLayout>
      </c:layout>
      <c:barChart>
        <c:barDir val="col"/>
        <c:grouping val="clustered"/>
        <c:varyColors val="0"/>
        <c:ser>
          <c:idx val="0"/>
          <c:order val="0"/>
          <c:tx>
            <c:v>Change in weight Nov 2022 - Jan 2023</c:v>
          </c:tx>
          <c:spPr>
            <a:solidFill>
              <a:schemeClr val="accent4"/>
            </a:solidFill>
            <a:ln>
              <a:noFill/>
            </a:ln>
            <a:effectLst/>
          </c:spPr>
          <c:invertIfNegative val="0"/>
          <c:cat>
            <c:numRef>
              <c:f>'January 2023 Data'!$V$4:$V$18</c:f>
              <c:numCache>
                <c:formatCode>General</c:formatCode>
                <c:ptCount val="15"/>
                <c:pt idx="0">
                  <c:v>-3</c:v>
                </c:pt>
                <c:pt idx="1">
                  <c:v>-2</c:v>
                </c:pt>
                <c:pt idx="2">
                  <c:v>-1</c:v>
                </c:pt>
                <c:pt idx="3">
                  <c:v>0</c:v>
                </c:pt>
                <c:pt idx="4">
                  <c:v>1</c:v>
                </c:pt>
                <c:pt idx="5">
                  <c:v>2</c:v>
                </c:pt>
                <c:pt idx="6">
                  <c:v>3</c:v>
                </c:pt>
                <c:pt idx="7">
                  <c:v>4</c:v>
                </c:pt>
                <c:pt idx="8">
                  <c:v>5</c:v>
                </c:pt>
                <c:pt idx="9">
                  <c:v>6</c:v>
                </c:pt>
                <c:pt idx="10">
                  <c:v>7</c:v>
                </c:pt>
                <c:pt idx="11">
                  <c:v>8</c:v>
                </c:pt>
                <c:pt idx="12">
                  <c:v>9</c:v>
                </c:pt>
                <c:pt idx="13">
                  <c:v>10</c:v>
                </c:pt>
                <c:pt idx="14">
                  <c:v>11</c:v>
                </c:pt>
              </c:numCache>
            </c:numRef>
          </c:cat>
          <c:val>
            <c:numRef>
              <c:f>'January 2023 Data'!$W$4:$W$18</c:f>
              <c:numCache>
                <c:formatCode>General</c:formatCode>
                <c:ptCount val="15"/>
                <c:pt idx="0">
                  <c:v>3</c:v>
                </c:pt>
                <c:pt idx="1">
                  <c:v>1</c:v>
                </c:pt>
                <c:pt idx="2">
                  <c:v>1</c:v>
                </c:pt>
                <c:pt idx="3">
                  <c:v>6</c:v>
                </c:pt>
                <c:pt idx="4">
                  <c:v>4</c:v>
                </c:pt>
                <c:pt idx="5">
                  <c:v>3</c:v>
                </c:pt>
                <c:pt idx="6">
                  <c:v>10</c:v>
                </c:pt>
                <c:pt idx="7">
                  <c:v>2</c:v>
                </c:pt>
                <c:pt idx="8">
                  <c:v>6</c:v>
                </c:pt>
                <c:pt idx="9">
                  <c:v>1</c:v>
                </c:pt>
                <c:pt idx="10">
                  <c:v>1</c:v>
                </c:pt>
                <c:pt idx="11">
                  <c:v>1</c:v>
                </c:pt>
                <c:pt idx="12">
                  <c:v>1</c:v>
                </c:pt>
                <c:pt idx="13">
                  <c:v>0</c:v>
                </c:pt>
                <c:pt idx="14">
                  <c:v>1</c:v>
                </c:pt>
              </c:numCache>
            </c:numRef>
          </c:val>
          <c:extLst>
            <c:ext xmlns:c16="http://schemas.microsoft.com/office/drawing/2014/chart" uri="{C3380CC4-5D6E-409C-BE32-E72D297353CC}">
              <c16:uniqueId val="{00000000-58D7-4245-8833-D44E43232CBE}"/>
            </c:ext>
          </c:extLst>
        </c:ser>
        <c:dLbls>
          <c:showLegendKey val="0"/>
          <c:showVal val="0"/>
          <c:showCatName val="0"/>
          <c:showSerName val="0"/>
          <c:showPercent val="0"/>
          <c:showBubbleSize val="0"/>
        </c:dLbls>
        <c:gapWidth val="38"/>
        <c:overlap val="-27"/>
        <c:axId val="378171888"/>
        <c:axId val="378172304"/>
      </c:barChart>
      <c:catAx>
        <c:axId val="37817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Kilograms</a:t>
                </a:r>
              </a:p>
            </c:rich>
          </c:tx>
          <c:layout>
            <c:manualLayout>
              <c:xMode val="edge"/>
              <c:yMode val="edge"/>
              <c:x val="7.4307057771624718E-2"/>
              <c:y val="0.95439271255060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2304"/>
        <c:crosses val="autoZero"/>
        <c:auto val="1"/>
        <c:lblAlgn val="ctr"/>
        <c:lblOffset val="100"/>
        <c:noMultiLvlLbl val="0"/>
      </c:catAx>
      <c:valAx>
        <c:axId val="378172304"/>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Number of Makuuchi wrestlers</a:t>
                </a:r>
              </a:p>
            </c:rich>
          </c:tx>
          <c:layout>
            <c:manualLayout>
              <c:xMode val="edge"/>
              <c:yMode val="edge"/>
              <c:x val="0"/>
              <c:y val="1.05178679588128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188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Makuuchi Wrestlers</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2.7864343029116324E-2"/>
                  <c:y val="-3.0303030303030304E-2"/>
                </c:manualLayout>
              </c:layout>
              <c:tx>
                <c:rich>
                  <a:bodyPr/>
                  <a:lstStyle/>
                  <a:p>
                    <a:fld id="{4FAC22B6-E997-4746-B6AC-EC30924D8B24}"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{4FAC22B6-E997-4746-B6AC-EC30924D8B24}</c15:txfldGUID>
                      <c15:f>'March 2023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00-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'March 2023 Data'!$J$4</c:f>
              <c:numCache>
                <c:formatCode>General</c:formatCode>
                <c:ptCount val="1"/>
                <c:pt idx="0">
                  <c:v>180</c:v>
                </c:pt>
              </c:numCache>
            </c:numRef>
          </c:xVal>
          <c:yVal>
            <c:numRef>
              <c:f>'March 2023 Data'!$I$4</c:f>
              <c:numCache>
                <c:formatCode>General</c:formatCode>
                <c:ptCount val="1"/>
                <c:pt idx="0">
                  <c:v>192</c:v>
                </c:pt>
              </c:numCache>
            </c:numRef>
          </c:yVal>
          <c:smooth val="0"/>
          <c:extLst>
            <c:ext xmlns:c16="http://schemas.microsoft.com/office/drawing/2014/chart" uri="{C3380CC4-5D6E-409C-BE32-E72D297353CC}">
              <c16:uniqueId val="{00000001-5B85-4AE0-8D30-117960B5E123}"/>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FD6EFE4F-2742-4854-B82F-E2E051F31D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Data'!$J$5</c:f>
              <c:numCache>
                <c:formatCode>General</c:formatCode>
                <c:ptCount val="1"/>
                <c:pt idx="0">
                  <c:v>165</c:v>
                </c:pt>
              </c:numCache>
            </c:numRef>
          </c:xVal>
          <c:yVal>
            <c:numRef>
              <c:f>'March 2023 Data'!$I$5</c:f>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5B85-4AE0-8D30-117960B5E123}"/>
            </c:ext>
          </c:extLst>
        </c:ser>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45084B83-45F4-459E-B9B8-F275A45B6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85-4AE0-8D30-117960B5E123}"/>
                </c:ext>
              </c:extLst>
            </c:dLbl>
            <c:dLbl>
              <c:idx val="1"/>
              <c:layout>
                <c:manualLayout>
                  <c:x val="-5.1329052948371978E-2"/>
                  <c:y val="-3.8383838383838381E-2"/>
                </c:manualLayout>
              </c:layout>
              <c:tx>
                <c:rich>
                  <a:bodyPr/>
                  <a:lstStyle/>
                  <a:p>
                    <a:fld id="{F332D108-786F-4B3A-BB40-189FA8C63D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85-4AE0-8D30-117960B5E123}"/>
                </c:ext>
              </c:extLst>
            </c:dLbl>
            <c:dLbl>
              <c:idx val="2"/>
              <c:layout>
                <c:manualLayout>
                  <c:x val="-9.6791928416930045E-2"/>
                  <c:y val="-4.0404040404041141E-3"/>
                </c:manualLayout>
              </c:layout>
              <c:tx>
                <c:rich>
                  <a:bodyPr/>
                  <a:lstStyle/>
                  <a:p>
                    <a:fld id="{BB86B0F0-B46A-43B7-82D3-B52170606F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Data'!$A$6:$A$8</c15:f>
                <c15:dlblRangeCache>
                  <c:ptCount val="3"/>
                  <c:pt idx="0">
                    <c:v>Wakatakakage</c:v>
                  </c:pt>
                  <c:pt idx="1">
                    <c:v>Hoshoryu</c:v>
                  </c:pt>
                  <c:pt idx="2">
                    <c:v>Kiribayama</c:v>
                  </c:pt>
                </c15:dlblRangeCache>
              </c15:datalabelsRange>
            </c:ext>
            <c:ext xmlns:c16="http://schemas.microsoft.com/office/drawing/2014/chart" uri="{C3380CC4-5D6E-409C-BE32-E72D297353CC}">
              <c16:uniqueId val="{00000008-5B85-4AE0-8D30-117960B5E123}"/>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DB167199-342C-408D-923E-75CD6DE749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85-4AE0-8D30-117960B5E123}"/>
                </c:ext>
              </c:extLst>
            </c:dLbl>
            <c:dLbl>
              <c:idx val="1"/>
              <c:layout>
                <c:manualLayout>
                  <c:x val="-1.4665443699534852E-2"/>
                  <c:y val="2.8282828282828285E-2"/>
                </c:manualLayout>
              </c:layout>
              <c:tx>
                <c:rich>
                  <a:bodyPr/>
                  <a:lstStyle/>
                  <a:p>
                    <a:fld id="{39B1DF38-8E2B-4067-9E4B-6B83FC8FB1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85-4AE0-8D30-117960B5E123}"/>
                </c:ext>
              </c:extLst>
            </c:dLbl>
            <c:dLbl>
              <c:idx val="2"/>
              <c:tx>
                <c:rich>
                  <a:bodyPr/>
                  <a:lstStyle/>
                  <a:p>
                    <a:fld id="{00AEEB8D-BF8D-4EC3-B3D9-2CBE46EDE0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85-4AE0-8D30-117960B5E123}"/>
                </c:ext>
              </c:extLst>
            </c:dLbl>
            <c:dLbl>
              <c:idx val="3"/>
              <c:tx>
                <c:rich>
                  <a:bodyPr/>
                  <a:lstStyle/>
                  <a:p>
                    <a:fld id="{88523323-64D7-40AA-A73B-B36B8121F3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Data'!$A$9:$A$12</c15:f>
                <c15:dlblRangeCache>
                  <c:ptCount val="4"/>
                  <c:pt idx="0">
                    <c:v>Kotonowaka</c:v>
                  </c:pt>
                  <c:pt idx="1">
                    <c:v>Wakamotoharu</c:v>
                  </c:pt>
                  <c:pt idx="2">
                    <c:v>Daieisho</c:v>
                  </c:pt>
                  <c:pt idx="3">
                    <c:v>Tobizaru</c:v>
                  </c:pt>
                </c15:dlblRangeCache>
              </c15:datalabelsRange>
            </c:ext>
            <c:ext xmlns:c16="http://schemas.microsoft.com/office/drawing/2014/chart" uri="{C3380CC4-5D6E-409C-BE32-E72D297353CC}">
              <c16:uniqueId val="{0000000D-5B85-4AE0-8D30-117960B5E123}"/>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2D36AE75-7767-46CC-BA68-56A7F4958E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B85-4AE0-8D30-117960B5E123}"/>
                </c:ext>
              </c:extLst>
            </c:dLbl>
            <c:dLbl>
              <c:idx val="1"/>
              <c:tx>
                <c:rich>
                  <a:bodyPr/>
                  <a:lstStyle/>
                  <a:p>
                    <a:fld id="{46733076-E7E8-493F-9C75-F5BD3ED001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85-4AE0-8D30-117960B5E123}"/>
                </c:ext>
              </c:extLst>
            </c:dLbl>
            <c:dLbl>
              <c:idx val="2"/>
              <c:tx>
                <c:rich>
                  <a:bodyPr/>
                  <a:lstStyle/>
                  <a:p>
                    <a:fld id="{D51D8DF7-92E4-4A3D-839D-AE85CD4C6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85-4AE0-8D30-117960B5E123}"/>
                </c:ext>
              </c:extLst>
            </c:dLbl>
            <c:dLbl>
              <c:idx val="3"/>
              <c:layout>
                <c:manualLayout>
                  <c:x val="-5.4262141688278948E-2"/>
                  <c:y val="2.0202020202020204E-2"/>
                </c:manualLayout>
              </c:layout>
              <c:tx>
                <c:rich>
                  <a:bodyPr/>
                  <a:lstStyle/>
                  <a:p>
                    <a:fld id="{A87A261C-E2DB-46EE-9932-5183A212A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85-4AE0-8D30-117960B5E123}"/>
                </c:ext>
              </c:extLst>
            </c:dLbl>
            <c:dLbl>
              <c:idx val="4"/>
              <c:tx>
                <c:rich>
                  <a:bodyPr/>
                  <a:lstStyle/>
                  <a:p>
                    <a:fld id="{2C8FF895-B51C-4B70-BFE5-76FB49DECB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85-4AE0-8D30-117960B5E123}"/>
                </c:ext>
              </c:extLst>
            </c:dLbl>
            <c:dLbl>
              <c:idx val="5"/>
              <c:tx>
                <c:rich>
                  <a:bodyPr/>
                  <a:lstStyle/>
                  <a:p>
                    <a:fld id="{F93E39F1-E298-4767-AA54-1A9CF66B2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85-4AE0-8D30-117960B5E123}"/>
                </c:ext>
              </c:extLst>
            </c:dLbl>
            <c:dLbl>
              <c:idx val="6"/>
              <c:tx>
                <c:rich>
                  <a:bodyPr/>
                  <a:lstStyle/>
                  <a:p>
                    <a:fld id="{FC0DAAAC-DF5A-470F-A94C-14AB6FB3C3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85-4AE0-8D30-117960B5E123}"/>
                </c:ext>
              </c:extLst>
            </c:dLbl>
            <c:dLbl>
              <c:idx val="7"/>
              <c:tx>
                <c:rich>
                  <a:bodyPr/>
                  <a:lstStyle/>
                  <a:p>
                    <a:fld id="{3DCEEE68-03F5-4232-BE6D-2589B0CD67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Data'!$A$13:$A$20</c15:f>
                <c15:dlblRangeCache>
                  <c:ptCount val="8"/>
                  <c:pt idx="0">
                    <c:v>Shodai</c:v>
                  </c:pt>
                  <c:pt idx="1">
                    <c:v>Tamawashi</c:v>
                  </c:pt>
                  <c:pt idx="2">
                    <c:v>Abi</c:v>
                  </c:pt>
                  <c:pt idx="3">
                    <c:v>Ryuden</c:v>
                  </c:pt>
                  <c:pt idx="4">
                    <c:v>Mitakeumi</c:v>
                  </c:pt>
                  <c:pt idx="5">
                    <c:v>Nishikigi</c:v>
                  </c:pt>
                  <c:pt idx="6">
                    <c:v>Meisei</c:v>
                  </c:pt>
                  <c:pt idx="7">
                    <c:v>Onosho</c:v>
                  </c:pt>
                </c15:dlblRangeCache>
              </c15:datalabelsRange>
            </c:ext>
            <c:ext xmlns:c16="http://schemas.microsoft.com/office/drawing/2014/chart" uri="{C3380CC4-5D6E-409C-BE32-E72D297353CC}">
              <c16:uniqueId val="{00000016-5B85-4AE0-8D30-117960B5E123}"/>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9C0FBF09-B841-476E-A27D-D28E6CBB76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85-4AE0-8D30-117960B5E123}"/>
                </c:ext>
              </c:extLst>
            </c:dLbl>
            <c:dLbl>
              <c:idx val="1"/>
              <c:tx>
                <c:rich>
                  <a:bodyPr/>
                  <a:lstStyle/>
                  <a:p>
                    <a:fld id="{87F4626F-B29F-4B6C-9559-E69E9B50F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85-4AE0-8D30-117960B5E123}"/>
                </c:ext>
              </c:extLst>
            </c:dLbl>
            <c:dLbl>
              <c:idx val="2"/>
              <c:tx>
                <c:rich>
                  <a:bodyPr/>
                  <a:lstStyle/>
                  <a:p>
                    <a:fld id="{C798F9FA-288E-40D0-80DA-AC3FE9EC7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85-4AE0-8D30-117960B5E123}"/>
                </c:ext>
              </c:extLst>
            </c:dLbl>
            <c:dLbl>
              <c:idx val="3"/>
              <c:layout>
                <c:manualLayout>
                  <c:x val="1.0265810589674396E-2"/>
                  <c:y val="-4.0404040404041141E-3"/>
                </c:manualLayout>
              </c:layout>
              <c:tx>
                <c:rich>
                  <a:bodyPr/>
                  <a:lstStyle/>
                  <a:p>
                    <a:fld id="{682A15EE-A92A-47AA-BDDB-77D026546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85-4AE0-8D30-117960B5E123}"/>
                </c:ext>
              </c:extLst>
            </c:dLbl>
            <c:dLbl>
              <c:idx val="4"/>
              <c:tx>
                <c:rich>
                  <a:bodyPr/>
                  <a:lstStyle/>
                  <a:p>
                    <a:fld id="{805F7B8A-D165-4A51-BB58-10BE8D099A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85-4AE0-8D30-117960B5E123}"/>
                </c:ext>
              </c:extLst>
            </c:dLbl>
            <c:dLbl>
              <c:idx val="5"/>
              <c:layout>
                <c:manualLayout>
                  <c:x val="-3.3730520508930155E-2"/>
                  <c:y val="3.0303030303030228E-2"/>
                </c:manualLayout>
              </c:layout>
              <c:tx>
                <c:rich>
                  <a:bodyPr/>
                  <a:lstStyle/>
                  <a:p>
                    <a:fld id="{498B25F1-7848-463D-BD09-449449A721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B85-4AE0-8D30-117960B5E123}"/>
                </c:ext>
              </c:extLst>
            </c:dLbl>
            <c:dLbl>
              <c:idx val="6"/>
              <c:tx>
                <c:rich>
                  <a:bodyPr/>
                  <a:lstStyle/>
                  <a:p>
                    <a:fld id="{DD47FC9F-2916-4ABE-92E1-B6AC1A3339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85-4AE0-8D30-117960B5E123}"/>
                </c:ext>
              </c:extLst>
            </c:dLbl>
            <c:dLbl>
              <c:idx val="7"/>
              <c:layout>
                <c:manualLayout>
                  <c:x val="-2.0531621179348793E-2"/>
                  <c:y val="-4.0404040404040407E-2"/>
                </c:manualLayout>
              </c:layout>
              <c:tx>
                <c:rich>
                  <a:bodyPr/>
                  <a:lstStyle/>
                  <a:p>
                    <a:fld id="{BA23E8FA-024B-4E6C-A857-65A22A851F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Data'!$A$21:$A$28</c15:f>
                <c15:dlblRangeCache>
                  <c:ptCount val="8"/>
                  <c:pt idx="0">
                    <c:v>Midorifuji</c:v>
                  </c:pt>
                  <c:pt idx="1">
                    <c:v>Kotoshoho</c:v>
                  </c:pt>
                  <c:pt idx="2">
                    <c:v>Sadanoumi</c:v>
                  </c:pt>
                  <c:pt idx="3">
                    <c:v>Endo</c:v>
                  </c:pt>
                  <c:pt idx="4">
                    <c:v>Takayasu</c:v>
                  </c:pt>
                  <c:pt idx="5">
                    <c:v>Hokutofuji</c:v>
                  </c:pt>
                  <c:pt idx="6">
                    <c:v>Ura</c:v>
                  </c:pt>
                  <c:pt idx="7">
                    <c:v>Ichiyamamoto</c:v>
                  </c:pt>
                </c15:dlblRangeCache>
              </c15:datalabelsRange>
            </c:ext>
            <c:ext xmlns:c16="http://schemas.microsoft.com/office/drawing/2014/chart" uri="{C3380CC4-5D6E-409C-BE32-E72D297353CC}">
              <c16:uniqueId val="{0000001F-5B85-4AE0-8D30-117960B5E123}"/>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C32F2CC5-1C91-49F3-9804-A701597E9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85-4AE0-8D30-117960B5E123}"/>
                </c:ext>
              </c:extLst>
            </c:dLbl>
            <c:dLbl>
              <c:idx val="1"/>
              <c:tx>
                <c:rich>
                  <a:bodyPr/>
                  <a:lstStyle/>
                  <a:p>
                    <a:fld id="{EC9D41E9-B2F6-4374-8046-B7CAEE4E52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85-4AE0-8D30-117960B5E123}"/>
                </c:ext>
              </c:extLst>
            </c:dLbl>
            <c:dLbl>
              <c:idx val="2"/>
              <c:layout>
                <c:manualLayout>
                  <c:x val="-4.252978672865107E-2"/>
                  <c:y val="1.4141414141414068E-2"/>
                </c:manualLayout>
              </c:layout>
              <c:tx>
                <c:rich>
                  <a:bodyPr/>
                  <a:lstStyle/>
                  <a:p>
                    <a:fld id="{32E3E317-BA2B-4542-A26F-25071533D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B85-4AE0-8D30-117960B5E123}"/>
                </c:ext>
              </c:extLst>
            </c:dLbl>
            <c:dLbl>
              <c:idx val="3"/>
              <c:layout>
                <c:manualLayout>
                  <c:x val="-1.4665443699535389E-3"/>
                  <c:y val="-2.0202020202020204E-2"/>
                </c:manualLayout>
              </c:layout>
              <c:tx>
                <c:rich>
                  <a:bodyPr/>
                  <a:lstStyle/>
                  <a:p>
                    <a:fld id="{71C6BA3A-2C58-4705-A145-59E3C5F48B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B85-4AE0-8D30-117960B5E123}"/>
                </c:ext>
              </c:extLst>
            </c:dLbl>
            <c:dLbl>
              <c:idx val="4"/>
              <c:tx>
                <c:rich>
                  <a:bodyPr/>
                  <a:lstStyle/>
                  <a:p>
                    <a:fld id="{EB414E8A-9DB6-4A1E-ABC5-A43600DDFF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85-4AE0-8D30-117960B5E123}"/>
                </c:ext>
              </c:extLst>
            </c:dLbl>
            <c:dLbl>
              <c:idx val="5"/>
              <c:tx>
                <c:rich>
                  <a:bodyPr/>
                  <a:lstStyle/>
                  <a:p>
                    <a:fld id="{2A0B20C9-2E65-4DFB-837B-603D56EBA9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85-4AE0-8D30-117960B5E123}"/>
                </c:ext>
              </c:extLst>
            </c:dLbl>
            <c:dLbl>
              <c:idx val="6"/>
              <c:tx>
                <c:rich>
                  <a:bodyPr/>
                  <a:lstStyle/>
                  <a:p>
                    <a:fld id="{C1098ACE-21E7-47F2-80B4-80D58B42A2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85-4AE0-8D30-117960B5E123}"/>
                </c:ext>
              </c:extLst>
            </c:dLbl>
            <c:dLbl>
              <c:idx val="7"/>
              <c:tx>
                <c:rich>
                  <a:bodyPr/>
                  <a:lstStyle/>
                  <a:p>
                    <a:fld id="{FC41EAA0-D501-4155-8116-CFD4B02076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Data'!$A$29:$A$36</c15:f>
                <c15:dlblRangeCache>
                  <c:ptCount val="8"/>
                  <c:pt idx="0">
                    <c:v>Aoiyama</c:v>
                  </c:pt>
                  <c:pt idx="1">
                    <c:v>Hiradoumi</c:v>
                  </c:pt>
                  <c:pt idx="2">
                    <c:v>Nishikifuji</c:v>
                  </c:pt>
                  <c:pt idx="3">
                    <c:v>Myogiryu</c:v>
                  </c:pt>
                  <c:pt idx="4">
                    <c:v>Takanosho</c:v>
                  </c:pt>
                  <c:pt idx="5">
                    <c:v>Azumaryu</c:v>
                  </c:pt>
                  <c:pt idx="6">
                    <c:v>Kagayaki</c:v>
                  </c:pt>
                  <c:pt idx="7">
                    <c:v>Takarafuji</c:v>
                  </c:pt>
                </c15:dlblRangeCache>
              </c15:datalabelsRange>
            </c:ext>
            <c:ext xmlns:c16="http://schemas.microsoft.com/office/drawing/2014/chart" uri="{C3380CC4-5D6E-409C-BE32-E72D297353CC}">
              <c16:uniqueId val="{00000028-5B85-4AE0-8D30-117960B5E123}"/>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8734EE64-4210-4CDB-915F-F9E0B20BA6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85-4AE0-8D30-117960B5E123}"/>
                </c:ext>
              </c:extLst>
            </c:dLbl>
            <c:dLbl>
              <c:idx val="1"/>
              <c:tx>
                <c:rich>
                  <a:bodyPr/>
                  <a:lstStyle/>
                  <a:p>
                    <a:fld id="{39D94F2A-E005-4B7C-A832-A1B880D6A8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85-4AE0-8D30-117960B5E123}"/>
                </c:ext>
              </c:extLst>
            </c:dLbl>
            <c:dLbl>
              <c:idx val="2"/>
              <c:layout>
                <c:manualLayout>
                  <c:x val="-4.3996331098604555E-2"/>
                  <c:y val="-2.6262626262626262E-2"/>
                </c:manualLayout>
              </c:layout>
              <c:tx>
                <c:rich>
                  <a:bodyPr/>
                  <a:lstStyle/>
                  <a:p>
                    <a:fld id="{6E0E80E2-4713-431E-AE0F-067E7C794E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B85-4AE0-8D30-117960B5E123}"/>
                </c:ext>
              </c:extLst>
            </c:dLbl>
            <c:dLbl>
              <c:idx val="3"/>
              <c:tx>
                <c:rich>
                  <a:bodyPr/>
                  <a:lstStyle/>
                  <a:p>
                    <a:fld id="{0629DA6D-4FD2-46DE-B5DC-D4E43336C9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85-4AE0-8D30-117960B5E123}"/>
                </c:ext>
              </c:extLst>
            </c:dLbl>
            <c:dLbl>
              <c:idx val="4"/>
              <c:tx>
                <c:rich>
                  <a:bodyPr/>
                  <a:lstStyle/>
                  <a:p>
                    <a:fld id="{9A016E26-3735-4F6E-84CF-DF2A4C0A6C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85-4AE0-8D30-117960B5E123}"/>
                </c:ext>
              </c:extLst>
            </c:dLbl>
            <c:dLbl>
              <c:idx val="5"/>
              <c:tx>
                <c:rich>
                  <a:bodyPr/>
                  <a:lstStyle/>
                  <a:p>
                    <a:fld id="{DAF4E9C3-7572-4D46-8E54-C4EA10818E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85-4AE0-8D30-117960B5E123}"/>
                </c:ext>
              </c:extLst>
            </c:dLbl>
            <c:dLbl>
              <c:idx val="6"/>
              <c:tx>
                <c:rich>
                  <a:bodyPr/>
                  <a:lstStyle/>
                  <a:p>
                    <a:fld id="{4F55FF84-EB55-49F4-9514-47FFCE70CC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85-4AE0-8D30-117960B5E123}"/>
                </c:ext>
              </c:extLst>
            </c:dLbl>
            <c:dLbl>
              <c:idx val="7"/>
              <c:tx>
                <c:rich>
                  <a:bodyPr/>
                  <a:lstStyle/>
                  <a:p>
                    <a:fld id="{9B55F36A-E41C-452C-A261-EAA62AE812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85-4AE0-8D30-117960B5E123}"/>
                </c:ext>
              </c:extLst>
            </c:dLbl>
            <c:dLbl>
              <c:idx val="8"/>
              <c:tx>
                <c:rich>
                  <a:bodyPr/>
                  <a:lstStyle/>
                  <a:p>
                    <a:fld id="{78667D14-EF57-400A-A205-D3EE3A0595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Data'!$A$37:$A$45</c15:f>
                <c15:dlblRangeCache>
                  <c:ptCount val="9"/>
                  <c:pt idx="0">
                    <c:v>Kotoeko</c:v>
                  </c:pt>
                  <c:pt idx="1">
                    <c:v>Daishoho</c:v>
                  </c:pt>
                  <c:pt idx="2">
                    <c:v>Kinbozan</c:v>
                  </c:pt>
                  <c:pt idx="3">
                    <c:v>Bushozan</c:v>
                  </c:pt>
                  <c:pt idx="4">
                    <c:v>Oho</c:v>
                  </c:pt>
                  <c:pt idx="5">
                    <c:v>Hokuseiho</c:v>
                  </c:pt>
                  <c:pt idx="6">
                    <c:v>Chiyoshoma</c:v>
                  </c:pt>
                  <c:pt idx="7">
                    <c:v>Tsurugisho</c:v>
                  </c:pt>
                  <c:pt idx="8">
                    <c:v>Mitoryu</c:v>
                  </c:pt>
                </c15:dlblRangeCache>
              </c15:datalabelsRange>
            </c:ext>
            <c:ext xmlns:c16="http://schemas.microsoft.com/office/drawing/2014/chart" uri="{C3380CC4-5D6E-409C-BE32-E72D297353CC}">
              <c16:uniqueId val="{00000031-5B85-4AE0-8D30-117960B5E123}"/>
            </c:ext>
          </c:extLst>
        </c:ser>
        <c:dLbls>
          <c:showLegendKey val="0"/>
          <c:showVal val="0"/>
          <c:showCatName val="0"/>
          <c:showSerName val="0"/>
          <c:showPercent val="0"/>
          <c:showBubbleSize val="0"/>
        </c:dLbls>
        <c:axId val="745971600"/>
        <c:axId val="745971928"/>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Tournament after Day 14</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8277CB09-80AF-4AAD-9F8D-849AEE3FA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965-4E65-A6C5-54972657DC2F}"/>
                </c:ext>
              </c:extLst>
            </c:dLbl>
            <c:dLbl>
              <c:idx val="1"/>
              <c:layout>
                <c:manualLayout>
                  <c:x val="-5.1329052948371978E-2"/>
                  <c:y val="-3.8383838383838381E-2"/>
                </c:manualLayout>
              </c:layout>
              <c:tx>
                <c:rich>
                  <a:bodyPr/>
                  <a:lstStyle/>
                  <a:p>
                    <a:fld id="{C0588375-B631-4962-A051-93916B5D51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965-4E65-A6C5-54972657DC2F}"/>
                </c:ext>
              </c:extLst>
            </c:dLbl>
            <c:dLbl>
              <c:idx val="2"/>
              <c:layout>
                <c:manualLayout>
                  <c:x val="-9.6791928416930045E-2"/>
                  <c:y val="-4.0404040404041141E-3"/>
                </c:manualLayout>
              </c:layout>
              <c:tx>
                <c:rich>
                  <a:bodyPr/>
                  <a:lstStyle/>
                  <a:p>
                    <a:fld id="{208F62D5-1232-45E6-9CBE-796EA15288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Data'!$W$6:$W$8</c15:f>
                <c15:dlblRangeCache>
                  <c:ptCount val="3"/>
                  <c:pt idx="0">
                    <c:v>Wakatakakage, 7-7</c:v>
                  </c:pt>
                  <c:pt idx="1">
                    <c:v>Hoshoryu, 10-4</c:v>
                  </c:pt>
                  <c:pt idx="2">
                    <c:v>Kiribayama, 11-3</c:v>
                  </c:pt>
                </c15:dlblRangeCache>
              </c15:datalabelsRange>
            </c:ext>
            <c:ext xmlns:c16="http://schemas.microsoft.com/office/drawing/2014/chart" uri="{C3380CC4-5D6E-409C-BE32-E72D297353CC}">
              <c16:uniqueId val="{00000007-B965-4E65-A6C5-54972657DC2F}"/>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8E274E95-629A-44A3-8CB6-C323354691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965-4E65-A6C5-54972657DC2F}"/>
                </c:ext>
              </c:extLst>
            </c:dLbl>
            <c:dLbl>
              <c:idx val="1"/>
              <c:layout>
                <c:manualLayout>
                  <c:x val="-1.4665443699534852E-2"/>
                  <c:y val="2.8282828282828285E-2"/>
                </c:manualLayout>
              </c:layout>
              <c:tx>
                <c:rich>
                  <a:bodyPr/>
                  <a:lstStyle/>
                  <a:p>
                    <a:fld id="{C9E18D70-EB35-4C8A-B5E5-9498CCD856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965-4E65-A6C5-54972657DC2F}"/>
                </c:ext>
              </c:extLst>
            </c:dLbl>
            <c:dLbl>
              <c:idx val="2"/>
              <c:tx>
                <c:rich>
                  <a:bodyPr/>
                  <a:lstStyle/>
                  <a:p>
                    <a:fld id="{09B1DFEC-7F48-4EEA-94EF-896E3DEDFF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965-4E65-A6C5-54972657DC2F}"/>
                </c:ext>
              </c:extLst>
            </c:dLbl>
            <c:dLbl>
              <c:idx val="3"/>
              <c:tx>
                <c:rich>
                  <a:bodyPr/>
                  <a:lstStyle/>
                  <a:p>
                    <a:fld id="{A6E903C6-1BF4-4193-8F5A-4DE7EAECC6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Data'!$W$9:$W$12</c15:f>
                <c15:dlblRangeCache>
                  <c:ptCount val="4"/>
                  <c:pt idx="0">
                    <c:v>Kotonowaka, 9-5</c:v>
                  </c:pt>
                  <c:pt idx="1">
                    <c:v>Wakamotoharu, 10-4</c:v>
                  </c:pt>
                  <c:pt idx="2">
                    <c:v>Daieisho, 12-2</c:v>
                  </c:pt>
                  <c:pt idx="3">
                    <c:v>Tobizaru, 5-9</c:v>
                  </c:pt>
                </c15:dlblRangeCache>
              </c15:datalabelsRange>
            </c:ext>
            <c:ext xmlns:c16="http://schemas.microsoft.com/office/drawing/2014/chart" uri="{C3380CC4-5D6E-409C-BE32-E72D297353CC}">
              <c16:uniqueId val="{0000000C-B965-4E65-A6C5-54972657DC2F}"/>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E0CE7D0F-39C7-4F40-96D7-761F01CD23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965-4E65-A6C5-54972657DC2F}"/>
                </c:ext>
              </c:extLst>
            </c:dLbl>
            <c:dLbl>
              <c:idx val="1"/>
              <c:tx>
                <c:rich>
                  <a:bodyPr/>
                  <a:lstStyle/>
                  <a:p>
                    <a:fld id="{A63A0764-AA45-4FBE-9DDE-29718E6FED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965-4E65-A6C5-54972657DC2F}"/>
                </c:ext>
              </c:extLst>
            </c:dLbl>
            <c:dLbl>
              <c:idx val="2"/>
              <c:tx>
                <c:rich>
                  <a:bodyPr/>
                  <a:lstStyle/>
                  <a:p>
                    <a:fld id="{939E3207-8C92-4554-AB1F-9DEBD549F2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965-4E65-A6C5-54972657DC2F}"/>
                </c:ext>
              </c:extLst>
            </c:dLbl>
            <c:dLbl>
              <c:idx val="3"/>
              <c:layout>
                <c:manualLayout>
                  <c:x val="-5.4262141688278948E-2"/>
                  <c:y val="2.0202020202020204E-2"/>
                </c:manualLayout>
              </c:layout>
              <c:tx>
                <c:rich>
                  <a:bodyPr/>
                  <a:lstStyle/>
                  <a:p>
                    <a:fld id="{DD8785BB-86A2-4047-8B07-BC7843FF32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965-4E65-A6C5-54972657DC2F}"/>
                </c:ext>
              </c:extLst>
            </c:dLbl>
            <c:dLbl>
              <c:idx val="4"/>
              <c:tx>
                <c:rich>
                  <a:bodyPr/>
                  <a:lstStyle/>
                  <a:p>
                    <a:fld id="{B4B73901-8C5B-4A9D-A59A-316F3B2D1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965-4E65-A6C5-54972657DC2F}"/>
                </c:ext>
              </c:extLst>
            </c:dLbl>
            <c:dLbl>
              <c:idx val="5"/>
              <c:tx>
                <c:rich>
                  <a:bodyPr/>
                  <a:lstStyle/>
                  <a:p>
                    <a:fld id="{D064A4E2-01D7-4686-A78D-6019ACDA2A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965-4E65-A6C5-54972657DC2F}"/>
                </c:ext>
              </c:extLst>
            </c:dLbl>
            <c:dLbl>
              <c:idx val="6"/>
              <c:tx>
                <c:rich>
                  <a:bodyPr/>
                  <a:lstStyle/>
                  <a:p>
                    <a:fld id="{3E5EF5AC-B563-4728-B90D-6FE9385A72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965-4E65-A6C5-54972657DC2F}"/>
                </c:ext>
              </c:extLst>
            </c:dLbl>
            <c:dLbl>
              <c:idx val="7"/>
              <c:tx>
                <c:rich>
                  <a:bodyPr/>
                  <a:lstStyle/>
                  <a:p>
                    <a:fld id="{38E21CD5-5DFA-41D3-BCCE-857E5CE316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Data'!$W$13:$W$20</c15:f>
                <c15:dlblRangeCache>
                  <c:ptCount val="8"/>
                  <c:pt idx="0">
                    <c:v>Shodai, 9-5</c:v>
                  </c:pt>
                  <c:pt idx="1">
                    <c:v>Tamawashi, 3-11</c:v>
                  </c:pt>
                  <c:pt idx="2">
                    <c:v>Abi, 8-6</c:v>
                  </c:pt>
                  <c:pt idx="3">
                    <c:v>Ryuden, 1-13</c:v>
                  </c:pt>
                  <c:pt idx="4">
                    <c:v>Mitakeumi, 4-10</c:v>
                  </c:pt>
                  <c:pt idx="5">
                    <c:v>Nishikigi, 5-9</c:v>
                  </c:pt>
                  <c:pt idx="6">
                    <c:v>Meisei, 4-10</c:v>
                  </c:pt>
                  <c:pt idx="7">
                    <c:v>Onosho, 4-5-5</c:v>
                  </c:pt>
                </c15:dlblRangeCache>
              </c15:datalabelsRange>
            </c:ext>
            <c:ext xmlns:c16="http://schemas.microsoft.com/office/drawing/2014/chart" uri="{C3380CC4-5D6E-409C-BE32-E72D297353CC}">
              <c16:uniqueId val="{00000015-B965-4E65-A6C5-54972657DC2F}"/>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E9B74EEB-D1AB-48B3-AD96-9391A88888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965-4E65-A6C5-54972657DC2F}"/>
                </c:ext>
              </c:extLst>
            </c:dLbl>
            <c:dLbl>
              <c:idx val="1"/>
              <c:tx>
                <c:rich>
                  <a:bodyPr/>
                  <a:lstStyle/>
                  <a:p>
                    <a:fld id="{7295FE95-E85E-4949-A520-74D6827762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965-4E65-A6C5-54972657DC2F}"/>
                </c:ext>
              </c:extLst>
            </c:dLbl>
            <c:dLbl>
              <c:idx val="2"/>
              <c:tx>
                <c:rich>
                  <a:bodyPr/>
                  <a:lstStyle/>
                  <a:p>
                    <a:fld id="{1640FFAA-A453-4285-A6D2-F0E4152D40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965-4E65-A6C5-54972657DC2F}"/>
                </c:ext>
              </c:extLst>
            </c:dLbl>
            <c:dLbl>
              <c:idx val="3"/>
              <c:layout>
                <c:manualLayout>
                  <c:x val="1.0265810589674396E-2"/>
                  <c:y val="-4.0404040404041141E-3"/>
                </c:manualLayout>
              </c:layout>
              <c:tx>
                <c:rich>
                  <a:bodyPr/>
                  <a:lstStyle/>
                  <a:p>
                    <a:fld id="{8703DE2F-B2D9-4994-9D52-5B9719B453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B965-4E65-A6C5-54972657DC2F}"/>
                </c:ext>
              </c:extLst>
            </c:dLbl>
            <c:dLbl>
              <c:idx val="4"/>
              <c:tx>
                <c:rich>
                  <a:bodyPr/>
                  <a:lstStyle/>
                  <a:p>
                    <a:fld id="{2DBC2203-A69B-43BA-BAE3-D83188B0CF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965-4E65-A6C5-54972657DC2F}"/>
                </c:ext>
              </c:extLst>
            </c:dLbl>
            <c:dLbl>
              <c:idx val="5"/>
              <c:layout>
                <c:manualLayout>
                  <c:x val="-3.3730520508930155E-2"/>
                  <c:y val="3.0303030303030228E-2"/>
                </c:manualLayout>
              </c:layout>
              <c:tx>
                <c:rich>
                  <a:bodyPr/>
                  <a:lstStyle/>
                  <a:p>
                    <a:fld id="{4136FBC3-971F-4AB9-A3A2-EA13827020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965-4E65-A6C5-54972657DC2F}"/>
                </c:ext>
              </c:extLst>
            </c:dLbl>
            <c:dLbl>
              <c:idx val="6"/>
              <c:tx>
                <c:rich>
                  <a:bodyPr/>
                  <a:lstStyle/>
                  <a:p>
                    <a:fld id="{61F5AA96-896C-4736-8078-12F1F29129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965-4E65-A6C5-54972657DC2F}"/>
                </c:ext>
              </c:extLst>
            </c:dLbl>
            <c:dLbl>
              <c:idx val="7"/>
              <c:layout>
                <c:manualLayout>
                  <c:x val="-2.0531621179348793E-2"/>
                  <c:y val="-4.0404040404040407E-2"/>
                </c:manualLayout>
              </c:layout>
              <c:tx>
                <c:rich>
                  <a:bodyPr/>
                  <a:lstStyle/>
                  <a:p>
                    <a:fld id="{B4E4CC27-9E11-4906-A2B8-9AE59081A4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Data'!$W$21:$W$28</c15:f>
                <c15:dlblRangeCache>
                  <c:ptCount val="8"/>
                  <c:pt idx="0">
                    <c:v>Midorifuji, 10-4</c:v>
                  </c:pt>
                  <c:pt idx="1">
                    <c:v>Kotoshoho, 6-8</c:v>
                  </c:pt>
                  <c:pt idx="2">
                    <c:v>Sadanoumi, 6-8</c:v>
                  </c:pt>
                  <c:pt idx="3">
                    <c:v>Endo, 9-5</c:v>
                  </c:pt>
                  <c:pt idx="4">
                    <c:v>Takayasu, 9-5</c:v>
                  </c:pt>
                  <c:pt idx="5">
                    <c:v>Hokutofuji, 7-7</c:v>
                  </c:pt>
                  <c:pt idx="6">
                    <c:v>Ura, 8-6</c:v>
                  </c:pt>
                  <c:pt idx="7">
                    <c:v>Ichiyamamoto, 4-10</c:v>
                  </c:pt>
                </c15:dlblRangeCache>
              </c15:datalabelsRange>
            </c:ext>
            <c:ext xmlns:c16="http://schemas.microsoft.com/office/drawing/2014/chart" uri="{C3380CC4-5D6E-409C-BE32-E72D297353CC}">
              <c16:uniqueId val="{0000001E-B965-4E65-A6C5-54972657DC2F}"/>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2AC48551-3409-42AF-88AF-31AA6FFB0E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965-4E65-A6C5-54972657DC2F}"/>
                </c:ext>
              </c:extLst>
            </c:dLbl>
            <c:dLbl>
              <c:idx val="1"/>
              <c:tx>
                <c:rich>
                  <a:bodyPr/>
                  <a:lstStyle/>
                  <a:p>
                    <a:fld id="{54771954-0292-42D3-BFFE-772E44E870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965-4E65-A6C5-54972657DC2F}"/>
                </c:ext>
              </c:extLst>
            </c:dLbl>
            <c:dLbl>
              <c:idx val="2"/>
              <c:layout>
                <c:manualLayout>
                  <c:x val="-4.252978672865107E-2"/>
                  <c:y val="1.4141414141414068E-2"/>
                </c:manualLayout>
              </c:layout>
              <c:tx>
                <c:rich>
                  <a:bodyPr/>
                  <a:lstStyle/>
                  <a:p>
                    <a:fld id="{9A2A1644-DCF2-43DD-A622-C878488300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965-4E65-A6C5-54972657DC2F}"/>
                </c:ext>
              </c:extLst>
            </c:dLbl>
            <c:dLbl>
              <c:idx val="3"/>
              <c:layout>
                <c:manualLayout>
                  <c:x val="-1.4665443699535389E-3"/>
                  <c:y val="-2.0202020202020204E-2"/>
                </c:manualLayout>
              </c:layout>
              <c:tx>
                <c:rich>
                  <a:bodyPr/>
                  <a:lstStyle/>
                  <a:p>
                    <a:fld id="{752C4044-A489-4F1B-A573-DB9BC6807B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965-4E65-A6C5-54972657DC2F}"/>
                </c:ext>
              </c:extLst>
            </c:dLbl>
            <c:dLbl>
              <c:idx val="4"/>
              <c:tx>
                <c:rich>
                  <a:bodyPr/>
                  <a:lstStyle/>
                  <a:p>
                    <a:fld id="{EA93E574-3809-4A86-9515-37604FE38B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965-4E65-A6C5-54972657DC2F}"/>
                </c:ext>
              </c:extLst>
            </c:dLbl>
            <c:dLbl>
              <c:idx val="5"/>
              <c:tx>
                <c:rich>
                  <a:bodyPr/>
                  <a:lstStyle/>
                  <a:p>
                    <a:fld id="{727F20B0-2159-4895-B007-5ABAAE830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965-4E65-A6C5-54972657DC2F}"/>
                </c:ext>
              </c:extLst>
            </c:dLbl>
            <c:dLbl>
              <c:idx val="6"/>
              <c:tx>
                <c:rich>
                  <a:bodyPr/>
                  <a:lstStyle/>
                  <a:p>
                    <a:fld id="{208FCD66-0B86-41D5-9851-6BB18064E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965-4E65-A6C5-54972657DC2F}"/>
                </c:ext>
              </c:extLst>
            </c:dLbl>
            <c:dLbl>
              <c:idx val="7"/>
              <c:tx>
                <c:rich>
                  <a:bodyPr/>
                  <a:lstStyle/>
                  <a:p>
                    <a:fld id="{DC8244BD-0192-45E3-B375-D430931953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Data'!$W$29:$W$36</c15:f>
                <c15:dlblRangeCache>
                  <c:ptCount val="8"/>
                  <c:pt idx="0">
                    <c:v>Aoiyama, 6-8</c:v>
                  </c:pt>
                  <c:pt idx="1">
                    <c:v>Hiradoumi, 6-8</c:v>
                  </c:pt>
                  <c:pt idx="2">
                    <c:v>Nishikifuji, 9-5</c:v>
                  </c:pt>
                  <c:pt idx="3">
                    <c:v>Myogiryu, 5-9</c:v>
                  </c:pt>
                  <c:pt idx="4">
                    <c:v>Takanosho, 8-6</c:v>
                  </c:pt>
                  <c:pt idx="5">
                    <c:v>Azumaryu, 3-11</c:v>
                  </c:pt>
                  <c:pt idx="6">
                    <c:v>Kagayaki, 5-9</c:v>
                  </c:pt>
                  <c:pt idx="7">
                    <c:v>Takarafuji, 7-7</c:v>
                  </c:pt>
                </c15:dlblRangeCache>
              </c15:datalabelsRange>
            </c:ext>
            <c:ext xmlns:c16="http://schemas.microsoft.com/office/drawing/2014/chart" uri="{C3380CC4-5D6E-409C-BE32-E72D297353CC}">
              <c16:uniqueId val="{00000027-B965-4E65-A6C5-54972657DC2F}"/>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8BAA00F4-455A-4C38-9FA0-03C21886CA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965-4E65-A6C5-54972657DC2F}"/>
                </c:ext>
              </c:extLst>
            </c:dLbl>
            <c:dLbl>
              <c:idx val="1"/>
              <c:tx>
                <c:rich>
                  <a:bodyPr/>
                  <a:lstStyle/>
                  <a:p>
                    <a:fld id="{4510AEB9-5E93-4F64-A724-FF308DA114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965-4E65-A6C5-54972657DC2F}"/>
                </c:ext>
              </c:extLst>
            </c:dLbl>
            <c:dLbl>
              <c:idx val="2"/>
              <c:layout>
                <c:manualLayout>
                  <c:x val="-4.3996331098604555E-2"/>
                  <c:y val="-2.6262626262626262E-2"/>
                </c:manualLayout>
              </c:layout>
              <c:tx>
                <c:rich>
                  <a:bodyPr/>
                  <a:lstStyle/>
                  <a:p>
                    <a:fld id="{100892BF-3918-4B45-B19A-7EB84B5B0E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965-4E65-A6C5-54972657DC2F}"/>
                </c:ext>
              </c:extLst>
            </c:dLbl>
            <c:dLbl>
              <c:idx val="3"/>
              <c:tx>
                <c:rich>
                  <a:bodyPr/>
                  <a:lstStyle/>
                  <a:p>
                    <a:fld id="{34B79CCC-E82B-4E94-A513-A1B746B3CE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965-4E65-A6C5-54972657DC2F}"/>
                </c:ext>
              </c:extLst>
            </c:dLbl>
            <c:dLbl>
              <c:idx val="4"/>
              <c:tx>
                <c:rich>
                  <a:bodyPr/>
                  <a:lstStyle/>
                  <a:p>
                    <a:fld id="{6D2895A7-F0DC-482C-8E0A-D71DDC9E3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965-4E65-A6C5-54972657DC2F}"/>
                </c:ext>
              </c:extLst>
            </c:dLbl>
            <c:dLbl>
              <c:idx val="5"/>
              <c:tx>
                <c:rich>
                  <a:bodyPr/>
                  <a:lstStyle/>
                  <a:p>
                    <a:fld id="{A1D3A7EE-05B3-4DBA-AC16-C217760134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965-4E65-A6C5-54972657DC2F}"/>
                </c:ext>
              </c:extLst>
            </c:dLbl>
            <c:dLbl>
              <c:idx val="6"/>
              <c:tx>
                <c:rich>
                  <a:bodyPr/>
                  <a:lstStyle/>
                  <a:p>
                    <a:fld id="{8DEF690E-ED38-4FEA-B942-EDDB572B86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965-4E65-A6C5-54972657DC2F}"/>
                </c:ext>
              </c:extLst>
            </c:dLbl>
            <c:dLbl>
              <c:idx val="7"/>
              <c:tx>
                <c:rich>
                  <a:bodyPr/>
                  <a:lstStyle/>
                  <a:p>
                    <a:fld id="{E47B4776-1A2B-4277-A45B-CB6FF730EA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965-4E65-A6C5-54972657DC2F}"/>
                </c:ext>
              </c:extLst>
            </c:dLbl>
            <c:dLbl>
              <c:idx val="8"/>
              <c:tx>
                <c:rich>
                  <a:bodyPr/>
                  <a:lstStyle/>
                  <a:p>
                    <a:fld id="{1C3F4179-419C-496B-9248-048C11AC0C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Data'!$W$37:$W$45</c15:f>
                <c15:dlblRangeCache>
                  <c:ptCount val="9"/>
                  <c:pt idx="0">
                    <c:v>Kotoeko, 8-6</c:v>
                  </c:pt>
                  <c:pt idx="1">
                    <c:v>Daishoho, 8-6</c:v>
                  </c:pt>
                  <c:pt idx="2">
                    <c:v>Kinbozan, 10-4</c:v>
                  </c:pt>
                  <c:pt idx="3">
                    <c:v>Bushozan, 4-10</c:v>
                  </c:pt>
                  <c:pt idx="4">
                    <c:v>Oho, 7-7</c:v>
                  </c:pt>
                  <c:pt idx="5">
                    <c:v>Hokuseiho, 8-6</c:v>
                  </c:pt>
                  <c:pt idx="6">
                    <c:v>Chiyoshoma, 9-5</c:v>
                  </c:pt>
                  <c:pt idx="7">
                    <c:v>Tsurugisho, 7-7</c:v>
                  </c:pt>
                  <c:pt idx="8">
                    <c:v>Mitoryu, 7-7</c:v>
                  </c:pt>
                </c15:dlblRangeCache>
              </c15:datalabelsRange>
            </c:ext>
            <c:ext xmlns:c16="http://schemas.microsoft.com/office/drawing/2014/chart" uri="{C3380CC4-5D6E-409C-BE32-E72D297353CC}">
              <c16:uniqueId val="{00000031-B965-4E65-A6C5-54972657DC2F}"/>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1.319889932958147E-2"/>
                        <c:y val="-2.422708093594169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4FAC22B6-E997-4746-B6AC-EC30924D8B24}" type="CELLREF">
                            <a:rPr lang="en-US"/>
                            <a:pPr>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uri="{CE6537A1-D6FC-4f65-9D91-7224C49458BB}">
                        <c15:layout>
                          <c:manualLayout>
                            <c:w val="9.3719460223910145E-2"/>
                            <c:h val="4.0476029103956944E-2"/>
                          </c:manualLayout>
                        </c15:layout>
                        <c15:dlblFieldTable>
                          <c15:dlblFTEntry>
                            <c15:txfldGUID>{4FAC22B6-E997-4746-B6AC-EC30924D8B24}</c15:txfldGUID>
                            <c15:f>'March 2023 Data'!$A$4</c15:f>
                            <c15:dlblFieldTableCache>
                              <c:ptCount val="1"/>
                              <c:pt idx="0">
                                <c:v>Terunofuji</c:v>
                              </c:pt>
                            </c15:dlblFieldTableCache>
                          </c15:dlblFTEntry>
                        </c15:dlblFieldTable>
                        <c15:showDataLabelsRange val="1"/>
                      </c:ext>
                      <c:ext xmlns:c16="http://schemas.microsoft.com/office/drawing/2014/chart" uri="{C3380CC4-5D6E-409C-BE32-E72D297353CC}">
                        <c16:uniqueId val="{00000000-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0"/>
                    </c:ext>
                  </c:extLst>
                </c:dLbls>
                <c:xVal>
                  <c:numRef>
                    <c:extLst>
                      <c:ext uri="{02D57815-91ED-43cb-92C2-25804820EDAC}">
                        <c15:formulaRef>
                          <c15:sqref>'March 2023 Data'!$J$4</c15:sqref>
                        </c15:formulaRef>
                      </c:ext>
                    </c:extLst>
                    <c:numCache>
                      <c:formatCode>General</c:formatCode>
                      <c:ptCount val="1"/>
                      <c:pt idx="0">
                        <c:v>180</c:v>
                      </c:pt>
                    </c:numCache>
                  </c:numRef>
                </c:xVal>
                <c:yVal>
                  <c:numRef>
                    <c:extLst>
                      <c:ext uri="{02D57815-91ED-43cb-92C2-25804820EDAC}">
                        <c15:formulaRef>
                          <c15:sqref>'March 2023 Data'!$I$4</c15:sqref>
                        </c15:formulaRef>
                      </c:ext>
                    </c:extLst>
                    <c:numCache>
                      <c:formatCode>General</c:formatCode>
                      <c:ptCount val="1"/>
                      <c:pt idx="0">
                        <c:v>192</c:v>
                      </c:pt>
                    </c:numCache>
                  </c:numRef>
                </c:yVal>
                <c:smooth val="0"/>
                <c:extLst>
                  <c:ext uri="{02D57815-91ED-43cb-92C2-25804820EDAC}">
                    <c15:datalabelsRange>
                      <c15:f>'March 2023 Data'!$W$4</c15:f>
                      <c15:dlblRangeCache>
                        <c:ptCount val="1"/>
                        <c:pt idx="0">
                          <c:v>Terunofuji, 0-0-14</c:v>
                        </c:pt>
                      </c15:dlblRangeCache>
                    </c15:datalabelsRange>
                  </c:ext>
                  <c:ext xmlns:c16="http://schemas.microsoft.com/office/drawing/2014/chart" uri="{C3380CC4-5D6E-409C-BE32-E72D297353CC}">
                    <c16:uniqueId val="{00000001-B965-4E65-A6C5-54972657DC2F}"/>
                  </c:ext>
                </c:extLst>
              </c15:ser>
            </c15:filteredScatterSeries>
            <c15:filteredScatterSeries>
              <c15:ser>
                <c:idx val="1"/>
                <c:order val="1"/>
                <c:tx>
                  <c:strRef>
                    <c:extLs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9EFC1602-EAA1-4089-B294-0176F4D449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965-4E65-A6C5-54972657DC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xmlns:c15="http://schemas.microsoft.com/office/drawing/2012/chart" uri="{02D57815-91ED-43cb-92C2-25804820EDAC}">
                        <c15:formulaRef>
                          <c15:sqref>'March 2023 Data'!$J$5</c15:sqref>
                        </c15:formulaRef>
                      </c:ext>
                    </c:extLst>
                    <c:numCache>
                      <c:formatCode>General</c:formatCode>
                      <c:ptCount val="1"/>
                      <c:pt idx="0">
                        <c:v>165</c:v>
                      </c:pt>
                    </c:numCache>
                  </c:numRef>
                </c:xVal>
                <c:yVal>
                  <c:numRef>
                    <c:extLst>
                      <c:ext xmlns:c15="http://schemas.microsoft.com/office/drawing/2012/chart" uri="{02D57815-91ED-43cb-92C2-25804820EDAC}">
                        <c15:formulaRef>
                          <c15:sqref>'March 2023 Data'!$I$5</c15:sqref>
                        </c15:formulaRef>
                      </c:ext>
                    </c:extLst>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B965-4E65-A6C5-54972657DC2F}"/>
                  </c:ext>
                </c:extLst>
              </c15:ser>
            </c15:filteredScatterSeries>
          </c:ext>
        </c:extLst>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f/>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9835D54-0707-4B1B-8237-A9DB660F22A7}">
  <sheetPr/>
  <sheetViews>
    <sheetView zoomScale="16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2AC23-5909-466A-8907-5EEA43C07256}">
  <sheetPr/>
  <sheetViews>
    <sheetView zoomScale="1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EEBFAF-6685-4F3B-847F-7BD19369A0CD}">
  <sheetPr/>
  <sheetViews>
    <sheetView zoomScale="11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A3264C-9058-4280-A1CD-207014CC0443}">
  <sheetPr/>
  <sheetViews>
    <sheetView zoomScale="16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775483D-5615-448C-9EDA-927FB638D9B5}">
  <sheetPr/>
  <sheetViews>
    <sheetView tabSelected="1"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D818BA1E-DFA4-E87A-4C67-820060D0D6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4EFE26D4-D38F-FD92-86A3-5B6B4FFBAD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400" cy="627380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6B80DF88-E948-A614-5CB4-44D969802FD7}"/>
            </a:ext>
          </a:extLst>
        </cdr:cNvPr>
        <cdr:cNvSpPr>
          <a:spLocks xmlns:a="http://schemas.openxmlformats.org/drawingml/2006/main" noTextEdit="1"/>
        </cdr:cNvSpPr>
      </cdr:nvSpPr>
      <cdr:spPr>
        <a:xfrm xmlns:a="http://schemas.openxmlformats.org/drawingml/2006/main">
          <a:off x="0" y="0"/>
          <a:ext cx="8661400" cy="627380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E9B09C3F-DFBD-931C-10F7-AFDE98BA4C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4E63EC65-EF68-A89E-7B73-4D6B6DE9A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F8589C4C-F353-0312-184B-E79662E069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umo.or.jp/EnHonbashoBanzuke/inde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umo.or.jp/EnHonbashoBanzuke/index/"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sumo.or.jp/EnHonbashoBanzuke/index/" TargetMode="External"/><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6" Type="http://schemas.openxmlformats.org/officeDocument/2006/relationships/drawing" Target="../drawings/drawing13.xml"/><Relationship Id="rId5" Type="http://schemas.openxmlformats.org/officeDocument/2006/relationships/printerSettings" Target="../printerSettings/printerSettings7.bin"/><Relationship Id="rId4" Type="http://schemas.openxmlformats.org/officeDocument/2006/relationships/hyperlink" Target="https://www.sumo.or.jp/EnHonbashoBanzuk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15" activePane="bottomRight" state="frozen"/>
      <selection pane="topRight" activeCell="B1" sqref="B1"/>
      <selection pane="bottomLeft" activeCell="A4" sqref="A4"/>
      <selection pane="bottomRight" activeCell="E5" sqref="E5"/>
    </sheetView>
  </sheetViews>
  <sheetFormatPr defaultRowHeight="14.5"/>
  <cols>
    <col min="1" max="4" width="21.1796875" customWidth="1"/>
    <col min="7" max="7" width="11.26953125" bestFit="1" customWidth="1"/>
    <col min="8" max="8" width="8.7265625" style="4"/>
  </cols>
  <sheetData>
    <row r="2" spans="1:17">
      <c r="C2" t="s">
        <v>134</v>
      </c>
    </row>
    <row r="3" spans="1:17">
      <c r="A3" t="s">
        <v>3</v>
      </c>
      <c r="B3" t="s">
        <v>11</v>
      </c>
      <c r="C3" t="s">
        <v>131</v>
      </c>
      <c r="D3" t="s">
        <v>156</v>
      </c>
      <c r="E3" t="s">
        <v>5</v>
      </c>
      <c r="F3" t="s">
        <v>4</v>
      </c>
      <c r="G3" t="s">
        <v>26</v>
      </c>
      <c r="H3" s="4" t="s">
        <v>6</v>
      </c>
      <c r="I3" t="s">
        <v>7</v>
      </c>
      <c r="J3" t="s">
        <v>8</v>
      </c>
      <c r="K3" t="s">
        <v>9</v>
      </c>
      <c r="L3" t="s">
        <v>10</v>
      </c>
      <c r="Q3" s="14"/>
    </row>
    <row r="4" spans="1:17">
      <c r="A4" s="1" t="s">
        <v>86</v>
      </c>
      <c r="B4" s="1">
        <v>7</v>
      </c>
      <c r="C4" s="1" t="s">
        <v>14</v>
      </c>
      <c r="D4" s="1">
        <f>_xlfn.XLOOKUP(C4,'rank lookup'!$A$1:$A$21,'rank lookup'!$B$1:$B$21,,0)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c r="A5" s="1" t="s">
        <v>123</v>
      </c>
      <c r="B5" s="1">
        <v>2</v>
      </c>
      <c r="C5" s="1" t="s">
        <v>39</v>
      </c>
      <c r="D5" s="1">
        <f>_xlfn.XLOOKUP(C5,'rank lookup'!$A$1:$A$21,'rank lookup'!$B$1:$B$21,,0)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c r="A6" s="1" t="s">
        <v>116</v>
      </c>
      <c r="B6" s="1">
        <v>2</v>
      </c>
      <c r="C6" s="1" t="s">
        <v>39</v>
      </c>
      <c r="D6" s="1">
        <f>_xlfn.XLOOKUP(C6,'rank lookup'!$A$1:$A$21,'rank lookup'!$B$1:$B$21,,0)</f>
        <v>2</v>
      </c>
      <c r="E6" s="19">
        <v>179</v>
      </c>
      <c r="F6" s="19">
        <v>171</v>
      </c>
      <c r="G6" s="5">
        <f t="shared" si="0"/>
        <v>53.369120813957117</v>
      </c>
      <c r="H6" s="4">
        <f t="shared" si="1"/>
        <v>70.472440944881896</v>
      </c>
      <c r="I6">
        <f t="shared" si="2"/>
        <v>5</v>
      </c>
      <c r="J6">
        <f t="shared" si="3"/>
        <v>10.5</v>
      </c>
      <c r="K6" t="str">
        <f t="shared" si="4"/>
        <v>5' 10.5"</v>
      </c>
      <c r="L6">
        <f t="shared" si="5"/>
        <v>377</v>
      </c>
    </row>
    <row r="7" spans="1:17">
      <c r="A7" s="1" t="s">
        <v>109</v>
      </c>
      <c r="B7" s="1">
        <v>1</v>
      </c>
      <c r="C7" s="1" t="s">
        <v>39</v>
      </c>
      <c r="D7" s="1">
        <f>_xlfn.XLOOKUP(C7,'rank lookup'!$A$1:$A$21,'rank lookup'!$B$1:$B$21,,0)</f>
        <v>2</v>
      </c>
      <c r="E7" s="19">
        <v>183</v>
      </c>
      <c r="F7" s="19">
        <v>162</v>
      </c>
      <c r="G7" s="5">
        <f t="shared" si="0"/>
        <v>48.374092985756519</v>
      </c>
      <c r="H7" s="4">
        <f t="shared" si="1"/>
        <v>72.047244094488192</v>
      </c>
      <c r="I7">
        <f t="shared" si="2"/>
        <v>6</v>
      </c>
      <c r="J7">
        <f t="shared" si="3"/>
        <v>0</v>
      </c>
      <c r="K7" t="str">
        <f t="shared" si="4"/>
        <v>6' 0"</v>
      </c>
      <c r="L7">
        <f t="shared" si="5"/>
        <v>357</v>
      </c>
    </row>
    <row r="8" spans="1:17">
      <c r="A8" s="1" t="s">
        <v>112</v>
      </c>
      <c r="B8" s="1">
        <v>1</v>
      </c>
      <c r="C8" s="1" t="s">
        <v>31</v>
      </c>
      <c r="D8" s="1">
        <f>_xlfn.XLOOKUP(C8,'rank lookup'!$A$1:$A$21,'rank lookup'!$B$1:$B$21,,0)</f>
        <v>3</v>
      </c>
      <c r="E8" s="19">
        <v>182</v>
      </c>
      <c r="F8" s="19">
        <v>161</v>
      </c>
      <c r="G8" s="5">
        <f t="shared" si="0"/>
        <v>48.605240912933226</v>
      </c>
      <c r="H8" s="4">
        <f t="shared" si="1"/>
        <v>71.653543307086608</v>
      </c>
      <c r="I8">
        <f t="shared" si="2"/>
        <v>5</v>
      </c>
      <c r="J8">
        <f t="shared" si="3"/>
        <v>11.7</v>
      </c>
      <c r="K8" t="str">
        <f t="shared" si="4"/>
        <v>5' 11.7"</v>
      </c>
      <c r="L8">
        <f t="shared" si="5"/>
        <v>355</v>
      </c>
    </row>
    <row r="9" spans="1:17">
      <c r="A9" s="1" t="s">
        <v>114</v>
      </c>
      <c r="B9" s="1"/>
      <c r="C9" s="1" t="s">
        <v>31</v>
      </c>
      <c r="D9" s="1">
        <f>_xlfn.XLOOKUP(C9,'rank lookup'!$A$1:$A$21,'rank lookup'!$B$1:$B$21,,0)</f>
        <v>3</v>
      </c>
      <c r="E9" s="19">
        <v>183</v>
      </c>
      <c r="F9" s="19">
        <v>132</v>
      </c>
      <c r="G9" s="5">
        <f t="shared" si="0"/>
        <v>39.415927618023829</v>
      </c>
      <c r="H9" s="4">
        <f t="shared" si="1"/>
        <v>72.047244094488192</v>
      </c>
      <c r="I9">
        <f t="shared" si="2"/>
        <v>6</v>
      </c>
      <c r="J9">
        <f t="shared" si="3"/>
        <v>0</v>
      </c>
      <c r="K9" t="str">
        <f t="shared" si="4"/>
        <v>6' 0"</v>
      </c>
      <c r="L9">
        <f t="shared" si="5"/>
        <v>291</v>
      </c>
    </row>
    <row r="10" spans="1:17">
      <c r="A10" s="1" t="s">
        <v>95</v>
      </c>
      <c r="B10" s="1"/>
      <c r="C10" s="1" t="s">
        <v>31</v>
      </c>
      <c r="D10" s="1">
        <f>_xlfn.XLOOKUP(C10,'rank lookup'!$A$1:$A$21,'rank lookup'!$B$1:$B$21,,0)</f>
        <v>3</v>
      </c>
      <c r="E10" s="19">
        <v>185</v>
      </c>
      <c r="F10" s="19">
        <v>140</v>
      </c>
      <c r="G10" s="5">
        <f t="shared" si="0"/>
        <v>40.905770635500367</v>
      </c>
      <c r="H10" s="4">
        <f t="shared" si="1"/>
        <v>72.834645669291348</v>
      </c>
      <c r="I10">
        <f t="shared" si="2"/>
        <v>6</v>
      </c>
      <c r="J10">
        <f t="shared" si="3"/>
        <v>0.8</v>
      </c>
      <c r="K10" t="str">
        <f t="shared" si="4"/>
        <v>6' 0.8"</v>
      </c>
      <c r="L10">
        <f t="shared" si="5"/>
        <v>309</v>
      </c>
    </row>
    <row r="11" spans="1:17">
      <c r="A11" s="1" t="s">
        <v>102</v>
      </c>
      <c r="B11" s="1"/>
      <c r="C11" s="1" t="s">
        <v>42</v>
      </c>
      <c r="D11" s="1">
        <f>_xlfn.XLOOKUP(C11,'rank lookup'!$A$1:$A$21,'rank lookup'!$B$1:$B$21,,0)</f>
        <v>4</v>
      </c>
      <c r="E11" s="19">
        <v>185</v>
      </c>
      <c r="F11" s="19">
        <v>138</v>
      </c>
      <c r="G11" s="5">
        <f t="shared" si="0"/>
        <v>40.321402483564647</v>
      </c>
      <c r="H11" s="4">
        <f t="shared" si="1"/>
        <v>72.834645669291348</v>
      </c>
      <c r="I11">
        <f t="shared" si="2"/>
        <v>6</v>
      </c>
      <c r="J11">
        <f t="shared" si="3"/>
        <v>0.8</v>
      </c>
      <c r="K11" t="str">
        <f t="shared" si="4"/>
        <v>6' 0.8"</v>
      </c>
      <c r="L11">
        <f t="shared" si="5"/>
        <v>304</v>
      </c>
    </row>
    <row r="12" spans="1:17">
      <c r="A12" s="1" t="s">
        <v>93</v>
      </c>
      <c r="B12" s="1"/>
      <c r="C12" s="1" t="s">
        <v>42</v>
      </c>
      <c r="D12" s="1">
        <f>_xlfn.XLOOKUP(C12,'rank lookup'!$A$1:$A$21,'rank lookup'!$B$1:$B$21,,0)</f>
        <v>4</v>
      </c>
      <c r="E12" s="19">
        <v>187</v>
      </c>
      <c r="F12" s="19">
        <v>151</v>
      </c>
      <c r="G12" s="5">
        <f t="shared" si="0"/>
        <v>43.181103262889984</v>
      </c>
      <c r="H12" s="4">
        <f t="shared" si="1"/>
        <v>73.622047244094489</v>
      </c>
      <c r="I12">
        <f t="shared" si="2"/>
        <v>6</v>
      </c>
      <c r="J12">
        <f t="shared" si="3"/>
        <v>1.6</v>
      </c>
      <c r="K12" t="str">
        <f t="shared" si="4"/>
        <v>6' 1.6"</v>
      </c>
      <c r="L12">
        <f t="shared" si="5"/>
        <v>333</v>
      </c>
    </row>
    <row r="13" spans="1:17">
      <c r="A13" s="1" t="s">
        <v>89</v>
      </c>
      <c r="B13" s="1">
        <v>1</v>
      </c>
      <c r="C13" s="1" t="s">
        <v>42</v>
      </c>
      <c r="D13" s="1">
        <f>_xlfn.XLOOKUP(C13,'rank lookup'!$A$1:$A$21,'rank lookup'!$B$1:$B$21,,0)</f>
        <v>4</v>
      </c>
      <c r="E13" s="19">
        <v>190</v>
      </c>
      <c r="F13" s="19">
        <v>212</v>
      </c>
      <c r="G13" s="5">
        <f t="shared" si="0"/>
        <v>58.725761772853183</v>
      </c>
      <c r="H13" s="4">
        <f t="shared" si="1"/>
        <v>74.803149606299215</v>
      </c>
      <c r="I13">
        <f t="shared" si="2"/>
        <v>6</v>
      </c>
      <c r="J13">
        <f t="shared" si="3"/>
        <v>2.8</v>
      </c>
      <c r="K13" t="str">
        <f t="shared" si="4"/>
        <v>6' 2.8"</v>
      </c>
      <c r="L13">
        <f t="shared" si="5"/>
        <v>467</v>
      </c>
    </row>
    <row r="14" spans="1:17">
      <c r="A14" s="1" t="s">
        <v>133</v>
      </c>
      <c r="C14" t="s">
        <v>132</v>
      </c>
      <c r="D14" s="1">
        <f>_xlfn.XLOOKUP(C14,'rank lookup'!$A$1:$A$21,'rank lookup'!$B$1:$B$21,,0)</f>
        <v>5</v>
      </c>
      <c r="E14" s="19">
        <v>171</v>
      </c>
      <c r="F14" s="19">
        <v>114</v>
      </c>
      <c r="G14" s="5">
        <f t="shared" si="0"/>
        <v>38.98635477582846</v>
      </c>
      <c r="H14" s="4">
        <f t="shared" si="1"/>
        <v>67.322834645669289</v>
      </c>
      <c r="I14">
        <f t="shared" si="2"/>
        <v>5</v>
      </c>
      <c r="J14">
        <f t="shared" si="3"/>
        <v>7.3</v>
      </c>
      <c r="K14" t="str">
        <f t="shared" si="4"/>
        <v>5' 7.3"</v>
      </c>
      <c r="L14">
        <f t="shared" si="5"/>
        <v>251</v>
      </c>
    </row>
    <row r="15" spans="1:17">
      <c r="A15" s="1" t="s">
        <v>124</v>
      </c>
      <c r="B15" s="1"/>
      <c r="C15" s="1" t="s">
        <v>132</v>
      </c>
      <c r="D15" s="1">
        <f>_xlfn.XLOOKUP(C15,'rank lookup'!$A$1:$A$21,'rank lookup'!$B$1:$B$21,,0)</f>
        <v>5</v>
      </c>
      <c r="E15" s="19">
        <v>174</v>
      </c>
      <c r="F15" s="19">
        <v>133</v>
      </c>
      <c r="G15" s="5">
        <f t="shared" si="0"/>
        <v>43.929184832870916</v>
      </c>
      <c r="H15" s="4">
        <f t="shared" si="1"/>
        <v>68.503937007874015</v>
      </c>
      <c r="I15">
        <f t="shared" si="2"/>
        <v>5</v>
      </c>
      <c r="J15">
        <f t="shared" si="3"/>
        <v>8.5</v>
      </c>
      <c r="K15" t="str">
        <f t="shared" si="4"/>
        <v>5' 8.5"</v>
      </c>
      <c r="L15">
        <f t="shared" si="5"/>
        <v>293</v>
      </c>
    </row>
    <row r="16" spans="1:17">
      <c r="A16" s="1" t="s">
        <v>117</v>
      </c>
      <c r="B16" s="1"/>
      <c r="C16" s="1" t="s">
        <v>136</v>
      </c>
      <c r="D16" s="1">
        <f>_xlfn.XLOOKUP(C16,'rank lookup'!$A$1:$A$21,'rank lookup'!$B$1:$B$21,,0)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c r="A17" s="1" t="s">
        <v>94</v>
      </c>
      <c r="B17" s="1"/>
      <c r="C17" s="1" t="s">
        <v>136</v>
      </c>
      <c r="D17" s="1">
        <f>_xlfn.XLOOKUP(C17,'rank lookup'!$A$1:$A$21,'rank lookup'!$B$1:$B$21,,0)</f>
        <v>6</v>
      </c>
      <c r="E17" s="19">
        <v>189</v>
      </c>
      <c r="F17" s="19">
        <v>167</v>
      </c>
      <c r="G17" s="5">
        <f t="shared" si="0"/>
        <v>46.751210772374797</v>
      </c>
      <c r="H17" s="4">
        <f t="shared" si="1"/>
        <v>74.409448818897644</v>
      </c>
      <c r="I17">
        <f t="shared" si="2"/>
        <v>6</v>
      </c>
      <c r="J17">
        <f t="shared" si="3"/>
        <v>2.4</v>
      </c>
      <c r="K17" t="str">
        <f t="shared" si="4"/>
        <v>6' 2.4"</v>
      </c>
      <c r="L17">
        <f t="shared" si="5"/>
        <v>368</v>
      </c>
    </row>
    <row r="18" spans="1:12">
      <c r="A18" s="1" t="s">
        <v>121</v>
      </c>
      <c r="B18" s="1"/>
      <c r="C18" s="1" t="s">
        <v>137</v>
      </c>
      <c r="D18" s="1">
        <f>_xlfn.XLOOKUP(C18,'rank lookup'!$A$1:$A$21,'rank lookup'!$B$1:$B$21,,0)</f>
        <v>7</v>
      </c>
      <c r="E18" s="19">
        <v>175</v>
      </c>
      <c r="F18" s="19">
        <v>151</v>
      </c>
      <c r="G18" s="5">
        <f t="shared" si="0"/>
        <v>49.306122448979593</v>
      </c>
      <c r="H18" s="4">
        <f t="shared" si="1"/>
        <v>68.897637795275585</v>
      </c>
      <c r="I18">
        <f t="shared" si="2"/>
        <v>5</v>
      </c>
      <c r="J18">
        <f t="shared" si="3"/>
        <v>8.9</v>
      </c>
      <c r="K18" t="str">
        <f t="shared" si="4"/>
        <v>5' 8.9"</v>
      </c>
      <c r="L18">
        <f t="shared" si="5"/>
        <v>333</v>
      </c>
    </row>
    <row r="19" spans="1:12">
      <c r="A19" s="1" t="s">
        <v>92</v>
      </c>
      <c r="B19" s="1">
        <v>1</v>
      </c>
      <c r="C19" s="1" t="s">
        <v>137</v>
      </c>
      <c r="D19" s="1">
        <f>_xlfn.XLOOKUP(C19,'rank lookup'!$A$1:$A$21,'rank lookup'!$B$1:$B$21,,0)</f>
        <v>7</v>
      </c>
      <c r="E19" s="19">
        <v>189</v>
      </c>
      <c r="F19" s="19">
        <v>174</v>
      </c>
      <c r="G19" s="5">
        <f t="shared" si="0"/>
        <v>48.710842361636011</v>
      </c>
      <c r="H19" s="4">
        <f t="shared" si="1"/>
        <v>74.409448818897644</v>
      </c>
      <c r="I19">
        <f t="shared" si="2"/>
        <v>6</v>
      </c>
      <c r="J19">
        <f t="shared" si="3"/>
        <v>2.4</v>
      </c>
      <c r="K19" t="str">
        <f t="shared" si="4"/>
        <v>6' 2.4"</v>
      </c>
      <c r="L19">
        <f t="shared" si="5"/>
        <v>384</v>
      </c>
    </row>
    <row r="20" spans="1:12">
      <c r="A20" s="1" t="s">
        <v>138</v>
      </c>
      <c r="C20" s="1" t="s">
        <v>139</v>
      </c>
      <c r="D20" s="1">
        <f>_xlfn.XLOOKUP(C20,'rank lookup'!$A$1:$A$21,'rank lookup'!$B$1:$B$21,,0)</f>
        <v>8</v>
      </c>
      <c r="E20" s="19">
        <v>184</v>
      </c>
      <c r="F20" s="19">
        <v>170</v>
      </c>
      <c r="G20" s="5">
        <f t="shared" si="0"/>
        <v>50.21266540642722</v>
      </c>
      <c r="H20" s="4">
        <f t="shared" si="1"/>
        <v>72.440944881889763</v>
      </c>
      <c r="I20">
        <f t="shared" si="2"/>
        <v>6</v>
      </c>
      <c r="J20">
        <f t="shared" si="3"/>
        <v>0.4</v>
      </c>
      <c r="K20" t="str">
        <f t="shared" si="4"/>
        <v>6' 0.4"</v>
      </c>
      <c r="L20">
        <f t="shared" si="5"/>
        <v>375</v>
      </c>
    </row>
    <row r="21" spans="1:12">
      <c r="A21" s="1" t="s">
        <v>96</v>
      </c>
      <c r="B21" s="1"/>
      <c r="C21" s="1" t="s">
        <v>139</v>
      </c>
      <c r="D21" s="1">
        <f>_xlfn.XLOOKUP(C21,'rank lookup'!$A$1:$A$21,'rank lookup'!$B$1:$B$21,,0)</f>
        <v>8</v>
      </c>
      <c r="E21" s="19">
        <v>186</v>
      </c>
      <c r="F21" s="19">
        <v>182</v>
      </c>
      <c r="G21" s="5">
        <f t="shared" si="0"/>
        <v>52.607237830963122</v>
      </c>
      <c r="H21" s="4">
        <f t="shared" si="1"/>
        <v>73.228346456692918</v>
      </c>
      <c r="I21">
        <f t="shared" si="2"/>
        <v>6</v>
      </c>
      <c r="J21">
        <f t="shared" si="3"/>
        <v>1.2</v>
      </c>
      <c r="K21" t="str">
        <f t="shared" si="4"/>
        <v>6' 1.2"</v>
      </c>
      <c r="L21">
        <f t="shared" si="5"/>
        <v>401</v>
      </c>
    </row>
    <row r="22" spans="1:12">
      <c r="A22" s="1" t="s">
        <v>111</v>
      </c>
      <c r="B22" s="1"/>
      <c r="C22" s="1" t="s">
        <v>140</v>
      </c>
      <c r="D22" s="1">
        <f>_xlfn.XLOOKUP(C22,'rank lookup'!$A$1:$A$21,'rank lookup'!$B$1:$B$21,,0)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c r="A23" s="1" t="s">
        <v>104</v>
      </c>
      <c r="B23" s="1"/>
      <c r="C23" s="1" t="s">
        <v>140</v>
      </c>
      <c r="D23" s="1">
        <f>_xlfn.XLOOKUP(C23,'rank lookup'!$A$1:$A$21,'rank lookup'!$B$1:$B$21,,0)</f>
        <v>9</v>
      </c>
      <c r="E23" s="19">
        <v>186</v>
      </c>
      <c r="F23" s="19">
        <v>166</v>
      </c>
      <c r="G23" s="5">
        <f t="shared" si="0"/>
        <v>47.982425713955372</v>
      </c>
      <c r="H23" s="4">
        <f t="shared" si="1"/>
        <v>73.228346456692918</v>
      </c>
      <c r="I23">
        <f t="shared" si="2"/>
        <v>6</v>
      </c>
      <c r="J23">
        <f t="shared" si="3"/>
        <v>1.2</v>
      </c>
      <c r="K23" t="str">
        <f t="shared" si="4"/>
        <v>6' 1.2"</v>
      </c>
      <c r="L23">
        <f t="shared" si="5"/>
        <v>366</v>
      </c>
    </row>
    <row r="24" spans="1:12">
      <c r="A24" s="1" t="s">
        <v>99</v>
      </c>
      <c r="B24" s="1"/>
      <c r="C24" s="1" t="s">
        <v>141</v>
      </c>
      <c r="D24" s="1">
        <f>_xlfn.XLOOKUP(C24,'rank lookup'!$A$1:$A$21,'rank lookup'!$B$1:$B$21,,0)</f>
        <v>10</v>
      </c>
      <c r="E24" s="19">
        <v>183</v>
      </c>
      <c r="F24" s="19">
        <v>149</v>
      </c>
      <c r="G24" s="5">
        <f t="shared" si="0"/>
        <v>44.492221326405691</v>
      </c>
      <c r="H24" s="4">
        <f t="shared" si="1"/>
        <v>72.047244094488192</v>
      </c>
      <c r="I24">
        <f t="shared" si="2"/>
        <v>6</v>
      </c>
      <c r="J24">
        <f t="shared" si="3"/>
        <v>0</v>
      </c>
      <c r="K24" t="str">
        <f t="shared" si="4"/>
        <v>6' 0"</v>
      </c>
      <c r="L24">
        <f t="shared" si="5"/>
        <v>328</v>
      </c>
    </row>
    <row r="25" spans="1:12">
      <c r="A25" s="1" t="s">
        <v>100</v>
      </c>
      <c r="B25" s="1"/>
      <c r="C25" s="1" t="s">
        <v>141</v>
      </c>
      <c r="D25" s="1">
        <f>_xlfn.XLOOKUP(C25,'rank lookup'!$A$1:$A$21,'rank lookup'!$B$1:$B$21,,0)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c r="A26" s="1" t="s">
        <v>120</v>
      </c>
      <c r="B26" s="1"/>
      <c r="C26" s="1" t="s">
        <v>135</v>
      </c>
      <c r="D26" s="1">
        <f>_xlfn.XLOOKUP(C26,'rank lookup'!$A$1:$A$21,'rank lookup'!$B$1:$B$21,,0)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c r="A27" s="1" t="s">
        <v>91</v>
      </c>
      <c r="B27" s="1"/>
      <c r="C27" s="1" t="s">
        <v>135</v>
      </c>
      <c r="D27" s="1">
        <f>_xlfn.XLOOKUP(C27,'rank lookup'!$A$1:$A$21,'rank lookup'!$B$1:$B$21,,0)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c r="A28" s="1" t="s">
        <v>103</v>
      </c>
      <c r="B28" s="1"/>
      <c r="C28" s="1" t="s">
        <v>142</v>
      </c>
      <c r="D28" s="1">
        <f>_xlfn.XLOOKUP(C28,'rank lookup'!$A$1:$A$21,'rank lookup'!$B$1:$B$21,,0)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c r="A29" s="1" t="s">
        <v>87</v>
      </c>
      <c r="B29" s="1">
        <v>1</v>
      </c>
      <c r="C29" s="1" t="s">
        <v>142</v>
      </c>
      <c r="D29" s="1">
        <f>_xlfn.XLOOKUP(C29,'rank lookup'!$A$1:$A$21,'rank lookup'!$B$1:$B$21,,0)</f>
        <v>12</v>
      </c>
      <c r="E29" s="19">
        <v>192</v>
      </c>
      <c r="F29" s="19">
        <v>179</v>
      </c>
      <c r="G29" s="5">
        <f t="shared" si="0"/>
        <v>48.556857638888893</v>
      </c>
      <c r="H29" s="4">
        <f t="shared" si="1"/>
        <v>75.59055118110237</v>
      </c>
      <c r="I29">
        <f t="shared" si="2"/>
        <v>6</v>
      </c>
      <c r="J29">
        <f t="shared" si="3"/>
        <v>3.6</v>
      </c>
      <c r="K29" t="str">
        <f t="shared" si="4"/>
        <v>6' 3.6"</v>
      </c>
      <c r="L29">
        <f t="shared" si="5"/>
        <v>395</v>
      </c>
    </row>
    <row r="30" spans="1:12">
      <c r="A30" s="1" t="s">
        <v>122</v>
      </c>
      <c r="B30" s="1"/>
      <c r="C30" s="1" t="s">
        <v>143</v>
      </c>
      <c r="D30" s="1">
        <f>_xlfn.XLOOKUP(C30,'rank lookup'!$A$1:$A$21,'rank lookup'!$B$1:$B$21,,0)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c r="A31" s="1" t="s">
        <v>97</v>
      </c>
      <c r="B31" s="1"/>
      <c r="C31" s="1" t="s">
        <v>143</v>
      </c>
      <c r="D31" s="1">
        <f>_xlfn.XLOOKUP(C31,'rank lookup'!$A$1:$A$21,'rank lookup'!$B$1:$B$21,,0)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c r="A32" t="s">
        <v>144</v>
      </c>
      <c r="C32" s="1" t="s">
        <v>145</v>
      </c>
      <c r="D32" s="1">
        <f>_xlfn.XLOOKUP(C32,'rank lookup'!$A$1:$A$21,'rank lookup'!$B$1:$B$21,,0)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c r="A33" s="1" t="s">
        <v>101</v>
      </c>
      <c r="B33" s="1"/>
      <c r="C33" s="1" t="s">
        <v>145</v>
      </c>
      <c r="D33" s="1">
        <f>_xlfn.XLOOKUP(C33,'rank lookup'!$A$1:$A$21,'rank lookup'!$B$1:$B$21,,0)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c r="A34" s="1" t="s">
        <v>113</v>
      </c>
      <c r="B34" s="1"/>
      <c r="C34" s="1" t="s">
        <v>147</v>
      </c>
      <c r="D34" s="1">
        <f>_xlfn.XLOOKUP(C34,'rank lookup'!$A$1:$A$21,'rank lookup'!$B$1:$B$21,,0)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c r="A35" t="s">
        <v>146</v>
      </c>
      <c r="C35" s="1" t="s">
        <v>147</v>
      </c>
      <c r="D35" s="1">
        <f>_xlfn.XLOOKUP(C35,'rank lookup'!$A$1:$A$21,'rank lookup'!$B$1:$B$21,,0)</f>
        <v>15</v>
      </c>
      <c r="E35" s="19">
        <v>189</v>
      </c>
      <c r="F35" s="19">
        <v>158</v>
      </c>
      <c r="G35" s="5">
        <f t="shared" si="0"/>
        <v>44.23168444332466</v>
      </c>
      <c r="H35" s="4">
        <f t="shared" si="1"/>
        <v>74.409448818897644</v>
      </c>
      <c r="I35">
        <f t="shared" si="2"/>
        <v>6</v>
      </c>
      <c r="J35">
        <f t="shared" si="3"/>
        <v>2.4</v>
      </c>
      <c r="K35" t="str">
        <f t="shared" si="4"/>
        <v>6' 2.4"</v>
      </c>
      <c r="L35">
        <f t="shared" si="5"/>
        <v>348</v>
      </c>
    </row>
    <row r="36" spans="1:12">
      <c r="A36" t="s">
        <v>149</v>
      </c>
      <c r="C36" s="1" t="s">
        <v>148</v>
      </c>
      <c r="D36" s="1">
        <f>_xlfn.XLOOKUP(C36,'rank lookup'!$A$1:$A$21,'rank lookup'!$B$1:$B$21,,0)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c r="A37" s="1" t="s">
        <v>90</v>
      </c>
      <c r="B37" s="1"/>
      <c r="C37" s="1" t="s">
        <v>148</v>
      </c>
      <c r="D37" s="1">
        <f>_xlfn.XLOOKUP(C37,'rank lookup'!$A$1:$A$21,'rank lookup'!$B$1:$B$21,,0)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c r="A38" s="1" t="s">
        <v>98</v>
      </c>
      <c r="B38" s="1"/>
      <c r="C38" s="1" t="s">
        <v>150</v>
      </c>
      <c r="D38" s="1">
        <f>_xlfn.XLOOKUP(C38,'rank lookup'!$A$1:$A$21,'rank lookup'!$B$1:$B$21,,0)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c r="A39" s="1" t="s">
        <v>88</v>
      </c>
      <c r="B39" s="1"/>
      <c r="C39" s="1" t="s">
        <v>150</v>
      </c>
      <c r="D39" s="1">
        <f>_xlfn.XLOOKUP(C39,'rank lookup'!$A$1:$A$21,'rank lookup'!$B$1:$B$21,,0)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c r="A40" s="1" t="s">
        <v>110</v>
      </c>
      <c r="B40" s="1"/>
      <c r="C40" s="1" t="s">
        <v>151</v>
      </c>
      <c r="D40" s="1">
        <f>_xlfn.XLOOKUP(C40,'rank lookup'!$A$1:$A$21,'rank lookup'!$B$1:$B$21,,0)</f>
        <v>18</v>
      </c>
      <c r="E40" s="19">
        <v>183</v>
      </c>
      <c r="F40" s="19">
        <v>135</v>
      </c>
      <c r="G40" s="5">
        <f t="shared" si="0"/>
        <v>40.311744154797097</v>
      </c>
      <c r="H40" s="4">
        <f t="shared" si="1"/>
        <v>72.047244094488192</v>
      </c>
      <c r="I40">
        <f t="shared" si="2"/>
        <v>6</v>
      </c>
      <c r="J40">
        <f t="shared" si="3"/>
        <v>0</v>
      </c>
      <c r="K40" t="str">
        <f t="shared" si="4"/>
        <v>6' 0"</v>
      </c>
      <c r="L40">
        <f t="shared" si="5"/>
        <v>298</v>
      </c>
    </row>
    <row r="41" spans="1:12">
      <c r="A41" s="1" t="s">
        <v>107</v>
      </c>
      <c r="B41" s="1"/>
      <c r="C41" s="1" t="s">
        <v>151</v>
      </c>
      <c r="D41" s="1">
        <f>_xlfn.XLOOKUP(C41,'rank lookup'!$A$1:$A$21,'rank lookup'!$B$1:$B$21,,0)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c r="A42" s="1" t="s">
        <v>126</v>
      </c>
      <c r="B42" s="1"/>
      <c r="C42" s="1" t="s">
        <v>152</v>
      </c>
      <c r="D42" s="1">
        <f>_xlfn.XLOOKUP(C42,'rank lookup'!$A$1:$A$21,'rank lookup'!$B$1:$B$21,,0)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c r="A43" s="1" t="s">
        <v>108</v>
      </c>
      <c r="B43" s="1"/>
      <c r="C43" s="1" t="s">
        <v>152</v>
      </c>
      <c r="D43" s="1">
        <f>_xlfn.XLOOKUP(C43,'rank lookup'!$A$1:$A$21,'rank lookup'!$B$1:$B$21,,0)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c r="A44" t="s">
        <v>155</v>
      </c>
      <c r="C44" s="1" t="s">
        <v>154</v>
      </c>
      <c r="D44" s="1">
        <f>_xlfn.XLOOKUP(C44,'rank lookup'!$A$1:$A$21,'rank lookup'!$B$1:$B$21,,0)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c r="A45" t="s">
        <v>153</v>
      </c>
      <c r="C45" s="1" t="s">
        <v>154</v>
      </c>
      <c r="D45" s="1">
        <f>_xlfn.XLOOKUP(C45,'rank lookup'!$A$1:$A$21,'rank lookup'!$B$1:$B$21,,0)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A818-88B3-4AEA-9152-6A5AF77C3B55}">
  <dimension ref="A1:W49"/>
  <sheetViews>
    <sheetView topLeftCell="D10" zoomScale="106" zoomScaleNormal="106" workbookViewId="0">
      <selection activeCell="A10" sqref="A10"/>
    </sheetView>
  </sheetViews>
  <sheetFormatPr defaultRowHeight="14.5"/>
  <cols>
    <col min="1" max="7" width="21.1796875" customWidth="1"/>
    <col min="10" max="10" width="11.26953125" bestFit="1" customWidth="1"/>
    <col min="11" max="11" width="8.7265625" style="4"/>
    <col min="18" max="18" width="9.54296875" customWidth="1"/>
  </cols>
  <sheetData>
    <row r="1" spans="1:23">
      <c r="C1" t="s">
        <v>174</v>
      </c>
      <c r="H1" t="s">
        <v>178</v>
      </c>
    </row>
    <row r="2" spans="1:23">
      <c r="C2" s="17" t="s">
        <v>162</v>
      </c>
      <c r="D2" s="17"/>
      <c r="E2" s="17"/>
      <c r="P2">
        <f>MAX(P4:P45)</f>
        <v>42</v>
      </c>
      <c r="Q2">
        <f>MAX(Q4:Q45)</f>
        <v>42</v>
      </c>
      <c r="R2">
        <f>MAX(R4:R45)</f>
        <v>42</v>
      </c>
    </row>
    <row r="3" spans="1:23">
      <c r="A3" t="s">
        <v>3</v>
      </c>
      <c r="B3" t="s">
        <v>11</v>
      </c>
      <c r="C3" t="s">
        <v>131</v>
      </c>
      <c r="D3" t="s">
        <v>163</v>
      </c>
      <c r="E3" t="s">
        <v>175</v>
      </c>
      <c r="F3" t="s">
        <v>177</v>
      </c>
      <c r="G3" t="s">
        <v>164</v>
      </c>
      <c r="H3" t="s">
        <v>5</v>
      </c>
      <c r="I3" t="s">
        <v>4</v>
      </c>
      <c r="J3" t="s">
        <v>26</v>
      </c>
      <c r="K3" s="4" t="s">
        <v>6</v>
      </c>
      <c r="L3" t="s">
        <v>7</v>
      </c>
      <c r="M3" t="s">
        <v>8</v>
      </c>
      <c r="N3" t="s">
        <v>9</v>
      </c>
      <c r="O3" t="s">
        <v>10</v>
      </c>
      <c r="P3" t="s">
        <v>171</v>
      </c>
      <c r="Q3" t="s">
        <v>172</v>
      </c>
      <c r="R3" t="s">
        <v>173</v>
      </c>
      <c r="S3" t="s">
        <v>181</v>
      </c>
      <c r="T3" s="14" t="s">
        <v>182</v>
      </c>
      <c r="W3">
        <f>SUM(W4:W23)</f>
        <v>41</v>
      </c>
    </row>
    <row r="4" spans="1:23" ht="25">
      <c r="A4" s="1" t="s">
        <v>86</v>
      </c>
      <c r="B4" s="1">
        <v>7</v>
      </c>
      <c r="C4" s="1" t="s">
        <v>14</v>
      </c>
      <c r="D4" s="1" t="s">
        <v>14</v>
      </c>
      <c r="E4" s="1" t="s">
        <v>14</v>
      </c>
      <c r="F4" s="1">
        <f>_xlfn.XLOOKUP(E4,'rank lookup'!$A$1:$A$21,'rank lookup'!$B$1:$B$21,,0)</f>
        <v>1</v>
      </c>
      <c r="G4" s="1" t="s">
        <v>176</v>
      </c>
      <c r="H4" s="19">
        <v>192</v>
      </c>
      <c r="I4" s="19">
        <v>180</v>
      </c>
      <c r="J4" s="5">
        <f t="shared" ref="J4:J49" si="0">I4/(H4*H4)*10000</f>
        <v>48.828125</v>
      </c>
      <c r="K4" s="4">
        <f t="shared" ref="K4:K49" si="1">CONVERT(H4,"cm","in")</f>
        <v>75.59055118110237</v>
      </c>
      <c r="L4">
        <f t="shared" ref="L4:L49" si="2">_xlfn.FLOOR.MATH(K4/12)</f>
        <v>6</v>
      </c>
      <c r="M4">
        <f t="shared" ref="M4:M49" si="3">ROUND(K4-L4*12,1)</f>
        <v>3.6</v>
      </c>
      <c r="N4" t="str">
        <f t="shared" ref="N4:N49" si="4">L4&amp;"' "&amp;M4&amp;""""</f>
        <v>6' 3.6"</v>
      </c>
      <c r="O4">
        <f t="shared" ref="O4:O49" si="5">ROUND(CONVERT(I4,"kg","lbm"),0)</f>
        <v>397</v>
      </c>
      <c r="P4">
        <f>_xlfn.RANK.EQ(H4,H$4:H$45)</f>
        <v>2</v>
      </c>
      <c r="Q4">
        <f>_xlfn.RANK.EQ(I4,I$4:I$45)</f>
        <v>7</v>
      </c>
      <c r="R4">
        <f>_xlfn.RANK.EQ(J4,J$4:J$45)</f>
        <v>16</v>
      </c>
      <c r="S4">
        <f>_xlfn.XLOOKUP(A4,'November 2022 Data'!$A$4:$A$48,'November 2022 Data'!$H$4:$H$48,,0)</f>
        <v>181</v>
      </c>
      <c r="T4">
        <f>I4-S4</f>
        <v>-1</v>
      </c>
      <c r="V4" cm="1">
        <f t="array" ref="V4:V23">_xlfn.SEQUENCE(20,1,-3)</f>
        <v>-3</v>
      </c>
      <c r="W4">
        <f>COUNTIFS($T$4:$T$44,V4)</f>
        <v>3</v>
      </c>
    </row>
    <row r="5" spans="1:23">
      <c r="A5" s="1" t="s">
        <v>123</v>
      </c>
      <c r="B5" s="1">
        <v>2</v>
      </c>
      <c r="C5" s="1" t="s">
        <v>39</v>
      </c>
      <c r="D5" s="1" t="s">
        <v>39</v>
      </c>
      <c r="E5" s="1" t="s">
        <v>39</v>
      </c>
      <c r="F5" s="1">
        <f>_xlfn.XLOOKUP(E5,'rank lookup'!$A$1:$A$21,'rank lookup'!$B$1:$B$21,,0)</f>
        <v>2</v>
      </c>
      <c r="G5" s="1"/>
      <c r="H5" s="19">
        <v>175</v>
      </c>
      <c r="I5" s="19">
        <v>165</v>
      </c>
      <c r="J5" s="5">
        <f t="shared" si="0"/>
        <v>53.877551020408163</v>
      </c>
      <c r="K5" s="4">
        <f t="shared" si="1"/>
        <v>68.897637795275585</v>
      </c>
      <c r="L5">
        <f t="shared" si="2"/>
        <v>5</v>
      </c>
      <c r="M5">
        <f t="shared" si="3"/>
        <v>8.9</v>
      </c>
      <c r="N5" t="str">
        <f t="shared" si="4"/>
        <v>5' 8.9"</v>
      </c>
      <c r="O5">
        <f t="shared" si="5"/>
        <v>364</v>
      </c>
      <c r="P5">
        <f t="shared" ref="P5:R45" si="6">_xlfn.RANK.EQ(H5,H$4:H$45)</f>
        <v>39</v>
      </c>
      <c r="Q5">
        <f t="shared" si="6"/>
        <v>16</v>
      </c>
      <c r="R5">
        <f t="shared" si="6"/>
        <v>6</v>
      </c>
      <c r="S5">
        <f>_xlfn.XLOOKUP(A5,'November 2022 Data'!$A$4:$A$48,'November 2022 Data'!$H$4:$H$48,,0)</f>
        <v>163</v>
      </c>
      <c r="T5">
        <f t="shared" ref="T5:T44" si="7">I5-S5</f>
        <v>2</v>
      </c>
      <c r="V5">
        <v>-2</v>
      </c>
      <c r="W5">
        <f t="shared" ref="W5:W23" si="8">COUNTIFS($T$4:$T$44,V5)</f>
        <v>1</v>
      </c>
    </row>
    <row r="6" spans="1:23">
      <c r="A6" s="1" t="s">
        <v>109</v>
      </c>
      <c r="B6" s="1">
        <v>1</v>
      </c>
      <c r="C6" s="1" t="s">
        <v>39</v>
      </c>
      <c r="D6" s="1" t="s">
        <v>39</v>
      </c>
      <c r="E6" s="1" t="s">
        <v>31</v>
      </c>
      <c r="F6" s="1">
        <f>_xlfn.XLOOKUP(E6,'rank lookup'!$A$1:$A$21,'rank lookup'!$B$1:$B$21,,0)</f>
        <v>3</v>
      </c>
      <c r="G6" s="1"/>
      <c r="H6" s="19">
        <v>183</v>
      </c>
      <c r="I6" s="19">
        <v>163</v>
      </c>
      <c r="J6" s="5">
        <f t="shared" si="0"/>
        <v>48.672698498014277</v>
      </c>
      <c r="K6" s="4">
        <f t="shared" si="1"/>
        <v>72.047244094488192</v>
      </c>
      <c r="L6">
        <f t="shared" si="2"/>
        <v>6</v>
      </c>
      <c r="M6">
        <f t="shared" si="3"/>
        <v>0</v>
      </c>
      <c r="N6" t="str">
        <f t="shared" si="4"/>
        <v>6' 0"</v>
      </c>
      <c r="O6">
        <f t="shared" si="5"/>
        <v>359</v>
      </c>
      <c r="P6">
        <f t="shared" si="6"/>
        <v>27</v>
      </c>
      <c r="Q6">
        <f t="shared" si="6"/>
        <v>19</v>
      </c>
      <c r="R6">
        <f t="shared" si="6"/>
        <v>19</v>
      </c>
      <c r="S6">
        <f>_xlfn.XLOOKUP(A6,'November 2022 Data'!$A$4:$A$48,'November 2022 Data'!$H$4:$H$48,,0)</f>
        <v>162</v>
      </c>
      <c r="T6">
        <f t="shared" si="7"/>
        <v>1</v>
      </c>
      <c r="V6">
        <v>-1</v>
      </c>
      <c r="W6">
        <f t="shared" si="8"/>
        <v>1</v>
      </c>
    </row>
    <row r="7" spans="1:23">
      <c r="A7" s="1" t="s">
        <v>114</v>
      </c>
      <c r="B7" s="1"/>
      <c r="C7" s="1" t="s">
        <v>31</v>
      </c>
      <c r="D7" s="1" t="s">
        <v>31</v>
      </c>
      <c r="E7" s="1" t="s">
        <v>31</v>
      </c>
      <c r="F7" s="1">
        <f>_xlfn.XLOOKUP(E7,'rank lookup'!$A$1:$A$21,'rank lookup'!$B$1:$B$21,,0)</f>
        <v>3</v>
      </c>
      <c r="H7" s="19">
        <v>183</v>
      </c>
      <c r="I7" s="19">
        <v>135</v>
      </c>
      <c r="J7" s="5">
        <f t="shared" si="0"/>
        <v>40.311744154797097</v>
      </c>
      <c r="K7" s="4">
        <f t="shared" si="1"/>
        <v>72.047244094488192</v>
      </c>
      <c r="L7">
        <f t="shared" si="2"/>
        <v>6</v>
      </c>
      <c r="M7">
        <f t="shared" si="3"/>
        <v>0</v>
      </c>
      <c r="N7" t="str">
        <f t="shared" si="4"/>
        <v>6' 0"</v>
      </c>
      <c r="O7">
        <f t="shared" si="5"/>
        <v>298</v>
      </c>
      <c r="P7">
        <f t="shared" si="6"/>
        <v>27</v>
      </c>
      <c r="Q7">
        <f t="shared" si="6"/>
        <v>39</v>
      </c>
      <c r="R7">
        <f t="shared" si="6"/>
        <v>41</v>
      </c>
      <c r="S7">
        <f>_xlfn.XLOOKUP(A7,'November 2022 Data'!$A$4:$A$48,'November 2022 Data'!$H$4:$H$48,,0)</f>
        <v>132</v>
      </c>
      <c r="T7">
        <f t="shared" si="7"/>
        <v>3</v>
      </c>
      <c r="V7">
        <v>0</v>
      </c>
      <c r="W7">
        <f t="shared" si="8"/>
        <v>6</v>
      </c>
    </row>
    <row r="8" spans="1:23">
      <c r="A8" s="1" t="s">
        <v>95</v>
      </c>
      <c r="B8" s="1"/>
      <c r="C8" s="1" t="s">
        <v>31</v>
      </c>
      <c r="D8" s="1" t="s">
        <v>31</v>
      </c>
      <c r="E8" s="1" t="s">
        <v>31</v>
      </c>
      <c r="F8" s="1">
        <f>_xlfn.XLOOKUP(E8,'rank lookup'!$A$1:$A$21,'rank lookup'!$B$1:$B$21,,0)</f>
        <v>3</v>
      </c>
      <c r="G8" s="1"/>
      <c r="H8" s="19">
        <v>185</v>
      </c>
      <c r="I8" s="19">
        <v>146</v>
      </c>
      <c r="J8" s="5">
        <f t="shared" si="0"/>
        <v>42.658875091307529</v>
      </c>
      <c r="K8" s="4">
        <f t="shared" si="1"/>
        <v>72.834645669291348</v>
      </c>
      <c r="L8">
        <f t="shared" si="2"/>
        <v>6</v>
      </c>
      <c r="M8">
        <f t="shared" si="3"/>
        <v>0.8</v>
      </c>
      <c r="N8" t="str">
        <f t="shared" si="4"/>
        <v>6' 0.8"</v>
      </c>
      <c r="O8">
        <f t="shared" si="5"/>
        <v>322</v>
      </c>
      <c r="P8">
        <f t="shared" si="6"/>
        <v>20</v>
      </c>
      <c r="Q8">
        <f t="shared" si="6"/>
        <v>32</v>
      </c>
      <c r="R8">
        <f t="shared" si="6"/>
        <v>34</v>
      </c>
      <c r="S8">
        <f>_xlfn.XLOOKUP(A8,'November 2022 Data'!$A$4:$A$48,'November 2022 Data'!$H$4:$H$48,,0)</f>
        <v>140</v>
      </c>
      <c r="T8">
        <f t="shared" si="7"/>
        <v>6</v>
      </c>
      <c r="V8">
        <v>1</v>
      </c>
      <c r="W8">
        <f t="shared" si="8"/>
        <v>4</v>
      </c>
    </row>
    <row r="9" spans="1:23">
      <c r="A9" s="1" t="s">
        <v>96</v>
      </c>
      <c r="B9" s="1"/>
      <c r="C9" s="1" t="s">
        <v>139</v>
      </c>
      <c r="D9" s="1" t="s">
        <v>132</v>
      </c>
      <c r="E9" s="1" t="s">
        <v>31</v>
      </c>
      <c r="F9" s="1">
        <f>_xlfn.XLOOKUP(E9,'rank lookup'!$A$1:$A$21,'rank lookup'!$B$1:$B$21,,0)</f>
        <v>3</v>
      </c>
      <c r="G9" s="1"/>
      <c r="H9" s="19">
        <v>186</v>
      </c>
      <c r="I9" s="19">
        <v>182</v>
      </c>
      <c r="J9" s="5">
        <f t="shared" si="0"/>
        <v>52.607237830963122</v>
      </c>
      <c r="K9" s="4">
        <f t="shared" si="1"/>
        <v>73.228346456692918</v>
      </c>
      <c r="L9">
        <f t="shared" si="2"/>
        <v>6</v>
      </c>
      <c r="M9">
        <f t="shared" si="3"/>
        <v>1.2</v>
      </c>
      <c r="N9" t="str">
        <f t="shared" si="4"/>
        <v>6' 1.2"</v>
      </c>
      <c r="O9">
        <f t="shared" si="5"/>
        <v>401</v>
      </c>
      <c r="P9">
        <f t="shared" si="6"/>
        <v>17</v>
      </c>
      <c r="Q9">
        <f t="shared" si="6"/>
        <v>5</v>
      </c>
      <c r="R9">
        <f t="shared" si="6"/>
        <v>8</v>
      </c>
      <c r="S9">
        <f>_xlfn.XLOOKUP(A9,'November 2022 Data'!$A$4:$A$48,'November 2022 Data'!$H$4:$H$48,,0)</f>
        <v>182</v>
      </c>
      <c r="T9">
        <f t="shared" si="7"/>
        <v>0</v>
      </c>
      <c r="V9">
        <v>2</v>
      </c>
      <c r="W9">
        <f t="shared" si="8"/>
        <v>3</v>
      </c>
    </row>
    <row r="10" spans="1:23">
      <c r="A10" s="1" t="s">
        <v>102</v>
      </c>
      <c r="B10" s="1"/>
      <c r="C10" s="1" t="s">
        <v>42</v>
      </c>
      <c r="D10" s="1" t="s">
        <v>42</v>
      </c>
      <c r="E10" s="1" t="s">
        <v>42</v>
      </c>
      <c r="F10" s="1">
        <f>_xlfn.XLOOKUP(E10,'rank lookup'!$A$1:$A$21,'rank lookup'!$B$1:$B$21,,0)</f>
        <v>4</v>
      </c>
      <c r="G10" s="1"/>
      <c r="H10" s="19">
        <v>185</v>
      </c>
      <c r="I10" s="19">
        <v>142</v>
      </c>
      <c r="J10" s="5">
        <f t="shared" si="0"/>
        <v>41.490138787436081</v>
      </c>
      <c r="K10" s="4">
        <f t="shared" si="1"/>
        <v>72.834645669291348</v>
      </c>
      <c r="L10">
        <f t="shared" si="2"/>
        <v>6</v>
      </c>
      <c r="M10">
        <f t="shared" si="3"/>
        <v>0.8</v>
      </c>
      <c r="N10" t="str">
        <f t="shared" si="4"/>
        <v>6' 0.8"</v>
      </c>
      <c r="O10">
        <f t="shared" si="5"/>
        <v>313</v>
      </c>
      <c r="P10">
        <f t="shared" si="6"/>
        <v>20</v>
      </c>
      <c r="Q10">
        <f t="shared" si="6"/>
        <v>36</v>
      </c>
      <c r="R10">
        <f t="shared" si="6"/>
        <v>38</v>
      </c>
      <c r="S10">
        <f>_xlfn.XLOOKUP(A10,'November 2022 Data'!$A$4:$A$48,'November 2022 Data'!$H$4:$H$48,,0)</f>
        <v>138</v>
      </c>
      <c r="T10">
        <f t="shared" si="7"/>
        <v>4</v>
      </c>
      <c r="V10">
        <v>3</v>
      </c>
      <c r="W10">
        <f t="shared" si="8"/>
        <v>10</v>
      </c>
    </row>
    <row r="11" spans="1:23">
      <c r="A11" s="1" t="s">
        <v>94</v>
      </c>
      <c r="B11" s="1"/>
      <c r="C11" s="1" t="s">
        <v>136</v>
      </c>
      <c r="D11" s="1" t="s">
        <v>132</v>
      </c>
      <c r="E11" s="1" t="s">
        <v>42</v>
      </c>
      <c r="F11" s="1">
        <f>_xlfn.XLOOKUP(E11,'rank lookup'!$A$1:$A$21,'rank lookup'!$B$1:$B$21,,0)</f>
        <v>4</v>
      </c>
      <c r="G11" s="1"/>
      <c r="H11" s="19">
        <v>189</v>
      </c>
      <c r="I11" s="19">
        <v>172</v>
      </c>
      <c r="J11" s="5">
        <f t="shared" si="0"/>
        <v>48.150947621847095</v>
      </c>
      <c r="K11" s="4">
        <f t="shared" si="1"/>
        <v>74.409448818897644</v>
      </c>
      <c r="L11">
        <f t="shared" si="2"/>
        <v>6</v>
      </c>
      <c r="M11">
        <f t="shared" si="3"/>
        <v>2.4</v>
      </c>
      <c r="N11" t="str">
        <f t="shared" si="4"/>
        <v>6' 2.4"</v>
      </c>
      <c r="O11">
        <f t="shared" si="5"/>
        <v>379</v>
      </c>
      <c r="P11">
        <f t="shared" si="6"/>
        <v>8</v>
      </c>
      <c r="Q11">
        <f t="shared" si="6"/>
        <v>12</v>
      </c>
      <c r="R11">
        <f t="shared" si="6"/>
        <v>21</v>
      </c>
      <c r="S11">
        <f>_xlfn.XLOOKUP(A11,'November 2022 Data'!$A$4:$A$48,'November 2022 Data'!$H$4:$H$48,,0)</f>
        <v>167</v>
      </c>
      <c r="T11">
        <f t="shared" si="7"/>
        <v>5</v>
      </c>
      <c r="V11">
        <v>4</v>
      </c>
      <c r="W11">
        <f t="shared" si="8"/>
        <v>2</v>
      </c>
    </row>
    <row r="12" spans="1:23">
      <c r="A12" s="1" t="s">
        <v>117</v>
      </c>
      <c r="B12" s="1"/>
      <c r="C12" s="1" t="s">
        <v>136</v>
      </c>
      <c r="D12" s="1" t="s">
        <v>136</v>
      </c>
      <c r="E12" s="1" t="s">
        <v>42</v>
      </c>
      <c r="F12" s="1">
        <f>_xlfn.XLOOKUP(E12,'rank lookup'!$A$1:$A$21,'rank lookup'!$B$1:$B$21,,0)</f>
        <v>4</v>
      </c>
      <c r="G12" s="1"/>
      <c r="H12" s="19">
        <v>180</v>
      </c>
      <c r="I12" s="19">
        <v>158</v>
      </c>
      <c r="J12" s="5">
        <f t="shared" si="0"/>
        <v>48.76543209876543</v>
      </c>
      <c r="K12" s="4">
        <f t="shared" si="1"/>
        <v>70.866141732283467</v>
      </c>
      <c r="L12">
        <f t="shared" si="2"/>
        <v>5</v>
      </c>
      <c r="M12">
        <f t="shared" si="3"/>
        <v>10.9</v>
      </c>
      <c r="N12" t="str">
        <f t="shared" si="4"/>
        <v>5' 10.9"</v>
      </c>
      <c r="O12">
        <f t="shared" si="5"/>
        <v>348</v>
      </c>
      <c r="P12">
        <f t="shared" si="6"/>
        <v>33</v>
      </c>
      <c r="Q12">
        <f t="shared" si="6"/>
        <v>25</v>
      </c>
      <c r="R12">
        <f t="shared" si="6"/>
        <v>17</v>
      </c>
      <c r="S12">
        <f>_xlfn.XLOOKUP(A12,'November 2022 Data'!$A$4:$A$48,'November 2022 Data'!$H$4:$H$48,,0)</f>
        <v>153</v>
      </c>
      <c r="T12">
        <f t="shared" si="7"/>
        <v>5</v>
      </c>
      <c r="V12">
        <v>5</v>
      </c>
      <c r="W12">
        <f t="shared" si="8"/>
        <v>6</v>
      </c>
    </row>
    <row r="13" spans="1:23">
      <c r="A13" s="1" t="s">
        <v>100</v>
      </c>
      <c r="B13" s="1"/>
      <c r="C13" s="1" t="s">
        <v>141</v>
      </c>
      <c r="D13" s="1" t="s">
        <v>139</v>
      </c>
      <c r="E13" s="1" t="s">
        <v>42</v>
      </c>
      <c r="F13" s="1">
        <f>_xlfn.XLOOKUP(E13,'rank lookup'!$A$1:$A$21,'rank lookup'!$B$1:$B$21,,0)</f>
        <v>4</v>
      </c>
      <c r="G13" s="1"/>
      <c r="H13" s="19">
        <v>186</v>
      </c>
      <c r="I13" s="19">
        <v>146</v>
      </c>
      <c r="J13" s="5">
        <f t="shared" si="0"/>
        <v>42.201410567695682</v>
      </c>
      <c r="K13" s="4">
        <f t="shared" si="1"/>
        <v>73.228346456692918</v>
      </c>
      <c r="L13">
        <f t="shared" si="2"/>
        <v>6</v>
      </c>
      <c r="M13">
        <f t="shared" si="3"/>
        <v>1.2</v>
      </c>
      <c r="N13" t="str">
        <f t="shared" si="4"/>
        <v>6' 1.2"</v>
      </c>
      <c r="O13">
        <f t="shared" si="5"/>
        <v>322</v>
      </c>
      <c r="P13">
        <f t="shared" si="6"/>
        <v>17</v>
      </c>
      <c r="Q13">
        <f t="shared" si="6"/>
        <v>32</v>
      </c>
      <c r="R13">
        <f t="shared" si="6"/>
        <v>35</v>
      </c>
      <c r="S13">
        <f>_xlfn.XLOOKUP(A13,'November 2022 Data'!$A$4:$A$48,'November 2022 Data'!$H$4:$H$48,,0)</f>
        <v>135</v>
      </c>
      <c r="T13">
        <f t="shared" si="7"/>
        <v>11</v>
      </c>
      <c r="V13">
        <v>6</v>
      </c>
      <c r="W13">
        <f t="shared" si="8"/>
        <v>1</v>
      </c>
    </row>
    <row r="14" spans="1:23">
      <c r="A14" s="1" t="s">
        <v>112</v>
      </c>
      <c r="B14" s="1">
        <v>1</v>
      </c>
      <c r="C14" s="1" t="s">
        <v>31</v>
      </c>
      <c r="D14" s="1" t="s">
        <v>42</v>
      </c>
      <c r="E14" s="1" t="s">
        <v>132</v>
      </c>
      <c r="F14" s="1">
        <f>_xlfn.XLOOKUP(E14,'rank lookup'!$A$1:$A$21,'rank lookup'!$B$1:$B$21,,0)</f>
        <v>5</v>
      </c>
      <c r="G14" s="1"/>
      <c r="H14" s="19">
        <v>182</v>
      </c>
      <c r="I14" s="19">
        <v>165</v>
      </c>
      <c r="J14" s="5">
        <f t="shared" si="0"/>
        <v>49.812824538099264</v>
      </c>
      <c r="K14" s="4">
        <f t="shared" si="1"/>
        <v>71.653543307086608</v>
      </c>
      <c r="L14">
        <f t="shared" si="2"/>
        <v>5</v>
      </c>
      <c r="M14">
        <f t="shared" si="3"/>
        <v>11.7</v>
      </c>
      <c r="N14" t="str">
        <f t="shared" si="4"/>
        <v>5' 11.7"</v>
      </c>
      <c r="O14">
        <f t="shared" si="5"/>
        <v>364</v>
      </c>
      <c r="P14">
        <f t="shared" si="6"/>
        <v>31</v>
      </c>
      <c r="Q14">
        <f t="shared" si="6"/>
        <v>16</v>
      </c>
      <c r="R14">
        <f t="shared" si="6"/>
        <v>12</v>
      </c>
      <c r="S14">
        <f>_xlfn.XLOOKUP(A14,'November 2022 Data'!$A$4:$A$48,'November 2022 Data'!$H$4:$H$48,,0)</f>
        <v>161</v>
      </c>
      <c r="T14">
        <f t="shared" si="7"/>
        <v>4</v>
      </c>
      <c r="V14">
        <v>7</v>
      </c>
      <c r="W14">
        <f t="shared" si="8"/>
        <v>1</v>
      </c>
    </row>
    <row r="15" spans="1:23">
      <c r="A15" s="1" t="s">
        <v>124</v>
      </c>
      <c r="B15" s="1"/>
      <c r="C15" s="1" t="s">
        <v>132</v>
      </c>
      <c r="D15" s="1" t="s">
        <v>42</v>
      </c>
      <c r="E15" s="1" t="s">
        <v>132</v>
      </c>
      <c r="F15" s="1">
        <f>_xlfn.XLOOKUP(E15,'rank lookup'!$A$1:$A$21,'rank lookup'!$B$1:$B$21,,0)</f>
        <v>5</v>
      </c>
      <c r="G15" s="1"/>
      <c r="H15" s="19">
        <v>174</v>
      </c>
      <c r="I15" s="19">
        <v>130</v>
      </c>
      <c r="J15" s="5">
        <f t="shared" si="0"/>
        <v>42.938300964460304</v>
      </c>
      <c r="K15" s="4">
        <f t="shared" si="1"/>
        <v>68.503937007874015</v>
      </c>
      <c r="L15">
        <f t="shared" si="2"/>
        <v>5</v>
      </c>
      <c r="M15">
        <f t="shared" si="3"/>
        <v>8.5</v>
      </c>
      <c r="N15" t="str">
        <f t="shared" si="4"/>
        <v>5' 8.5"</v>
      </c>
      <c r="O15">
        <f t="shared" si="5"/>
        <v>287</v>
      </c>
      <c r="P15">
        <f t="shared" si="6"/>
        <v>41</v>
      </c>
      <c r="Q15">
        <f t="shared" si="6"/>
        <v>40</v>
      </c>
      <c r="R15">
        <f t="shared" si="6"/>
        <v>33</v>
      </c>
      <c r="S15">
        <f>_xlfn.XLOOKUP(A15,'November 2022 Data'!$A$4:$A$48,'November 2022 Data'!$H$4:$H$48,,0)</f>
        <v>133</v>
      </c>
      <c r="T15">
        <f t="shared" si="7"/>
        <v>-3</v>
      </c>
      <c r="V15">
        <v>8</v>
      </c>
      <c r="W15">
        <f t="shared" si="8"/>
        <v>1</v>
      </c>
    </row>
    <row r="16" spans="1:23">
      <c r="A16" s="1" t="s">
        <v>116</v>
      </c>
      <c r="B16" s="1">
        <v>2</v>
      </c>
      <c r="C16" s="1" t="s">
        <v>39</v>
      </c>
      <c r="D16" s="1" t="s">
        <v>31</v>
      </c>
      <c r="E16" s="1" t="s">
        <v>136</v>
      </c>
      <c r="F16" s="1">
        <f>_xlfn.XLOOKUP(E16,'rank lookup'!$A$1:$A$21,'rank lookup'!$B$1:$B$21,,0)</f>
        <v>6</v>
      </c>
      <c r="G16" s="1"/>
      <c r="H16" s="19">
        <v>179</v>
      </c>
      <c r="I16" s="19">
        <v>174</v>
      </c>
      <c r="J16" s="5">
        <f t="shared" si="0"/>
        <v>54.305421179114262</v>
      </c>
      <c r="K16" s="4">
        <f t="shared" si="1"/>
        <v>70.472440944881896</v>
      </c>
      <c r="L16">
        <f t="shared" si="2"/>
        <v>5</v>
      </c>
      <c r="M16">
        <f t="shared" si="3"/>
        <v>10.5</v>
      </c>
      <c r="N16" t="str">
        <f t="shared" si="4"/>
        <v>5' 10.5"</v>
      </c>
      <c r="O16">
        <f t="shared" si="5"/>
        <v>384</v>
      </c>
      <c r="P16">
        <f t="shared" si="6"/>
        <v>34</v>
      </c>
      <c r="Q16">
        <f t="shared" si="6"/>
        <v>10</v>
      </c>
      <c r="R16">
        <f t="shared" si="6"/>
        <v>4</v>
      </c>
      <c r="S16">
        <f>_xlfn.XLOOKUP(A16,'November 2022 Data'!$A$4:$A$48,'November 2022 Data'!$H$4:$H$48,,0)</f>
        <v>171</v>
      </c>
      <c r="T16">
        <f t="shared" si="7"/>
        <v>3</v>
      </c>
      <c r="V16">
        <v>9</v>
      </c>
      <c r="W16">
        <f t="shared" si="8"/>
        <v>1</v>
      </c>
    </row>
    <row r="17" spans="1:23">
      <c r="A17" s="1" t="s">
        <v>92</v>
      </c>
      <c r="B17" s="1">
        <v>2</v>
      </c>
      <c r="C17" s="1" t="s">
        <v>137</v>
      </c>
      <c r="D17" s="1" t="s">
        <v>42</v>
      </c>
      <c r="E17" s="1" t="s">
        <v>136</v>
      </c>
      <c r="F17" s="1">
        <f>_xlfn.XLOOKUP(E17,'rank lookup'!$A$1:$A$21,'rank lookup'!$B$1:$B$21,,0)</f>
        <v>6</v>
      </c>
      <c r="G17" s="1"/>
      <c r="H17" s="19">
        <v>189</v>
      </c>
      <c r="I17" s="19">
        <v>174</v>
      </c>
      <c r="J17" s="5">
        <f t="shared" si="0"/>
        <v>48.710842361636011</v>
      </c>
      <c r="K17" s="4">
        <f t="shared" si="1"/>
        <v>74.409448818897644</v>
      </c>
      <c r="L17">
        <f t="shared" si="2"/>
        <v>6</v>
      </c>
      <c r="M17">
        <f t="shared" si="3"/>
        <v>2.4</v>
      </c>
      <c r="N17" t="str">
        <f t="shared" si="4"/>
        <v>6' 2.4"</v>
      </c>
      <c r="O17">
        <f t="shared" si="5"/>
        <v>384</v>
      </c>
      <c r="P17">
        <f t="shared" si="6"/>
        <v>8</v>
      </c>
      <c r="Q17">
        <f t="shared" si="6"/>
        <v>10</v>
      </c>
      <c r="R17">
        <f t="shared" si="6"/>
        <v>18</v>
      </c>
      <c r="S17">
        <f>_xlfn.XLOOKUP(A17,'November 2022 Data'!$A$4:$A$48,'November 2022 Data'!$H$4:$H$48,,0)</f>
        <v>174</v>
      </c>
      <c r="T17">
        <f t="shared" si="7"/>
        <v>0</v>
      </c>
      <c r="V17">
        <v>10</v>
      </c>
      <c r="W17">
        <f t="shared" si="8"/>
        <v>0</v>
      </c>
    </row>
    <row r="18" spans="1:23">
      <c r="A18" s="1" t="s">
        <v>133</v>
      </c>
      <c r="C18" t="s">
        <v>132</v>
      </c>
      <c r="D18" s="1" t="s">
        <v>137</v>
      </c>
      <c r="E18" s="1" t="s">
        <v>137</v>
      </c>
      <c r="F18" s="1">
        <f>_xlfn.XLOOKUP(E18,'rank lookup'!$A$1:$A$21,'rank lookup'!$B$1:$B$21,,0)</f>
        <v>7</v>
      </c>
      <c r="G18" s="1"/>
      <c r="H18" s="19">
        <v>171</v>
      </c>
      <c r="I18" s="19">
        <v>117</v>
      </c>
      <c r="J18" s="5">
        <f t="shared" si="0"/>
        <v>40.012311480455523</v>
      </c>
      <c r="K18" s="4">
        <f t="shared" si="1"/>
        <v>67.322834645669289</v>
      </c>
      <c r="L18">
        <f t="shared" si="2"/>
        <v>5</v>
      </c>
      <c r="M18">
        <f t="shared" si="3"/>
        <v>7.3</v>
      </c>
      <c r="N18" t="str">
        <f t="shared" si="4"/>
        <v>5' 7.3"</v>
      </c>
      <c r="O18">
        <f t="shared" si="5"/>
        <v>258</v>
      </c>
      <c r="P18">
        <f t="shared" si="6"/>
        <v>42</v>
      </c>
      <c r="Q18">
        <f t="shared" si="6"/>
        <v>42</v>
      </c>
      <c r="R18">
        <f t="shared" si="6"/>
        <v>42</v>
      </c>
      <c r="S18">
        <f>_xlfn.XLOOKUP(A18,'November 2022 Data'!$A$4:$A$48,'November 2022 Data'!$H$4:$H$48,,0)</f>
        <v>114</v>
      </c>
      <c r="T18">
        <f t="shared" si="7"/>
        <v>3</v>
      </c>
      <c r="V18">
        <v>11</v>
      </c>
      <c r="W18">
        <f t="shared" si="8"/>
        <v>1</v>
      </c>
    </row>
    <row r="19" spans="1:23">
      <c r="A19" s="1" t="s">
        <v>93</v>
      </c>
      <c r="B19" s="1">
        <v>1</v>
      </c>
      <c r="C19" s="1" t="s">
        <v>42</v>
      </c>
      <c r="D19" s="1" t="s">
        <v>143</v>
      </c>
      <c r="E19" s="1" t="s">
        <v>137</v>
      </c>
      <c r="F19" s="1">
        <f>_xlfn.XLOOKUP(E19,'rank lookup'!$A$1:$A$21,'rank lookup'!$B$1:$B$21,,0)</f>
        <v>7</v>
      </c>
      <c r="G19" s="1"/>
      <c r="H19" s="19">
        <v>187</v>
      </c>
      <c r="I19" s="19">
        <v>159</v>
      </c>
      <c r="J19" s="5">
        <f t="shared" si="0"/>
        <v>45.468843833109325</v>
      </c>
      <c r="K19" s="4">
        <f t="shared" si="1"/>
        <v>73.622047244094489</v>
      </c>
      <c r="L19">
        <f t="shared" si="2"/>
        <v>6</v>
      </c>
      <c r="M19">
        <f t="shared" si="3"/>
        <v>1.6</v>
      </c>
      <c r="N19" t="str">
        <f t="shared" si="4"/>
        <v>6' 1.6"</v>
      </c>
      <c r="O19">
        <f t="shared" si="5"/>
        <v>351</v>
      </c>
      <c r="P19">
        <f t="shared" si="6"/>
        <v>14</v>
      </c>
      <c r="Q19">
        <f t="shared" si="6"/>
        <v>24</v>
      </c>
      <c r="R19">
        <f t="shared" si="6"/>
        <v>25</v>
      </c>
      <c r="S19">
        <f>_xlfn.XLOOKUP(A19,'November 2022 Data'!$A$4:$A$48,'November 2022 Data'!$H$4:$H$48,,0)</f>
        <v>151</v>
      </c>
      <c r="T19">
        <f t="shared" si="7"/>
        <v>8</v>
      </c>
      <c r="V19">
        <v>12</v>
      </c>
      <c r="W19">
        <f t="shared" si="8"/>
        <v>0</v>
      </c>
    </row>
    <row r="20" spans="1:23">
      <c r="A20" s="1" t="s">
        <v>111</v>
      </c>
      <c r="B20" s="1"/>
      <c r="C20" s="1" t="s">
        <v>140</v>
      </c>
      <c r="D20" s="1" t="s">
        <v>139</v>
      </c>
      <c r="E20" s="1" t="s">
        <v>139</v>
      </c>
      <c r="F20" s="1">
        <f>_xlfn.XLOOKUP(E20,'rank lookup'!$A$1:$A$21,'rank lookup'!$B$1:$B$21,,0)</f>
        <v>8</v>
      </c>
      <c r="G20" s="1"/>
      <c r="H20" s="19">
        <v>182</v>
      </c>
      <c r="I20" s="19">
        <v>144</v>
      </c>
      <c r="J20" s="5">
        <f t="shared" si="0"/>
        <v>43.473010505977541</v>
      </c>
      <c r="K20" s="4">
        <f t="shared" si="1"/>
        <v>71.653543307086608</v>
      </c>
      <c r="L20">
        <f t="shared" si="2"/>
        <v>5</v>
      </c>
      <c r="M20">
        <f t="shared" si="3"/>
        <v>11.7</v>
      </c>
      <c r="N20" t="str">
        <f t="shared" si="4"/>
        <v>5' 11.7"</v>
      </c>
      <c r="O20">
        <f t="shared" si="5"/>
        <v>317</v>
      </c>
      <c r="P20">
        <f t="shared" si="6"/>
        <v>31</v>
      </c>
      <c r="Q20">
        <f t="shared" si="6"/>
        <v>35</v>
      </c>
      <c r="R20">
        <f t="shared" si="6"/>
        <v>32</v>
      </c>
      <c r="S20">
        <f>_xlfn.XLOOKUP(A20,'November 2022 Data'!$A$4:$A$48,'November 2022 Data'!$H$4:$H$48,,0)</f>
        <v>141</v>
      </c>
      <c r="T20">
        <f t="shared" si="7"/>
        <v>3</v>
      </c>
      <c r="V20">
        <v>13</v>
      </c>
      <c r="W20">
        <f t="shared" si="8"/>
        <v>0</v>
      </c>
    </row>
    <row r="21" spans="1:23">
      <c r="A21" t="s">
        <v>144</v>
      </c>
      <c r="C21" s="1" t="s">
        <v>145</v>
      </c>
      <c r="D21" s="1" t="s">
        <v>140</v>
      </c>
      <c r="E21" s="1" t="s">
        <v>139</v>
      </c>
      <c r="F21" s="1">
        <f>_xlfn.XLOOKUP(E21,'rank lookup'!$A$1:$A$21,'rank lookup'!$B$1:$B$21,,0)</f>
        <v>8</v>
      </c>
      <c r="G21" s="1"/>
      <c r="H21" s="19">
        <v>184</v>
      </c>
      <c r="I21" s="19">
        <v>155</v>
      </c>
      <c r="J21" s="5">
        <f t="shared" si="0"/>
        <v>45.782136105860118</v>
      </c>
      <c r="K21" s="4">
        <f t="shared" si="1"/>
        <v>72.440944881889763</v>
      </c>
      <c r="L21">
        <f t="shared" si="2"/>
        <v>6</v>
      </c>
      <c r="M21">
        <f t="shared" si="3"/>
        <v>0.4</v>
      </c>
      <c r="N21" t="str">
        <f t="shared" si="4"/>
        <v>6' 0.4"</v>
      </c>
      <c r="O21">
        <f t="shared" si="5"/>
        <v>342</v>
      </c>
      <c r="P21">
        <f t="shared" si="6"/>
        <v>22</v>
      </c>
      <c r="Q21">
        <f t="shared" si="6"/>
        <v>29</v>
      </c>
      <c r="R21">
        <f t="shared" si="6"/>
        <v>23</v>
      </c>
      <c r="S21">
        <f>_xlfn.XLOOKUP(A21,'November 2022 Data'!$A$4:$A$48,'November 2022 Data'!$H$4:$H$48,,0)</f>
        <v>148</v>
      </c>
      <c r="T21">
        <f t="shared" si="7"/>
        <v>7</v>
      </c>
      <c r="V21">
        <v>14</v>
      </c>
      <c r="W21">
        <f t="shared" si="8"/>
        <v>0</v>
      </c>
    </row>
    <row r="22" spans="1:23">
      <c r="A22" s="1" t="s">
        <v>138</v>
      </c>
      <c r="C22" s="1" t="s">
        <v>139</v>
      </c>
      <c r="D22" s="1" t="s">
        <v>141</v>
      </c>
      <c r="E22" s="1" t="s">
        <v>140</v>
      </c>
      <c r="F22" s="1">
        <f>_xlfn.XLOOKUP(E22,'rank lookup'!$A$1:$A$21,'rank lookup'!$B$1:$B$21,,0)</f>
        <v>9</v>
      </c>
      <c r="G22" s="1"/>
      <c r="H22" s="19">
        <v>184</v>
      </c>
      <c r="I22" s="19">
        <v>179</v>
      </c>
      <c r="J22" s="5">
        <f t="shared" si="0"/>
        <v>52.870982986767487</v>
      </c>
      <c r="K22" s="4">
        <f t="shared" si="1"/>
        <v>72.440944881889763</v>
      </c>
      <c r="L22">
        <f t="shared" si="2"/>
        <v>6</v>
      </c>
      <c r="M22">
        <f t="shared" si="3"/>
        <v>0.4</v>
      </c>
      <c r="N22" t="str">
        <f t="shared" si="4"/>
        <v>6' 0.4"</v>
      </c>
      <c r="O22">
        <f t="shared" si="5"/>
        <v>395</v>
      </c>
      <c r="P22">
        <f t="shared" si="6"/>
        <v>22</v>
      </c>
      <c r="Q22">
        <f t="shared" si="6"/>
        <v>8</v>
      </c>
      <c r="R22">
        <f t="shared" si="6"/>
        <v>7</v>
      </c>
      <c r="S22">
        <f>_xlfn.XLOOKUP(A22,'November 2022 Data'!$A$4:$A$48,'November 2022 Data'!$H$4:$H$48,,0)</f>
        <v>170</v>
      </c>
      <c r="T22">
        <f t="shared" si="7"/>
        <v>9</v>
      </c>
      <c r="V22">
        <v>15</v>
      </c>
      <c r="W22">
        <f t="shared" si="8"/>
        <v>0</v>
      </c>
    </row>
    <row r="23" spans="1:23">
      <c r="A23" t="s">
        <v>149</v>
      </c>
      <c r="C23" s="1" t="s">
        <v>148</v>
      </c>
      <c r="D23" s="1" t="s">
        <v>141</v>
      </c>
      <c r="E23" s="1" t="s">
        <v>140</v>
      </c>
      <c r="F23" s="1">
        <f>_xlfn.XLOOKUP(E23,'rank lookup'!$A$1:$A$21,'rank lookup'!$B$1:$B$21,,0)</f>
        <v>9</v>
      </c>
      <c r="G23" s="1"/>
      <c r="H23" s="20">
        <v>187</v>
      </c>
      <c r="I23" s="19">
        <v>157</v>
      </c>
      <c r="J23" s="5">
        <f t="shared" si="0"/>
        <v>44.89690869055449</v>
      </c>
      <c r="K23" s="4">
        <f t="shared" si="1"/>
        <v>73.622047244094489</v>
      </c>
      <c r="L23">
        <f t="shared" si="2"/>
        <v>6</v>
      </c>
      <c r="M23">
        <f t="shared" si="3"/>
        <v>1.6</v>
      </c>
      <c r="N23" t="str">
        <f t="shared" si="4"/>
        <v>6' 1.6"</v>
      </c>
      <c r="O23">
        <f t="shared" si="5"/>
        <v>346</v>
      </c>
      <c r="P23">
        <f t="shared" si="6"/>
        <v>14</v>
      </c>
      <c r="Q23">
        <f t="shared" si="6"/>
        <v>26</v>
      </c>
      <c r="R23">
        <f t="shared" si="6"/>
        <v>27</v>
      </c>
      <c r="S23">
        <f>_xlfn.XLOOKUP(A23,'November 2022 Data'!$A$4:$A$48,'November 2022 Data'!$H$4:$H$48,,0)</f>
        <v>154</v>
      </c>
      <c r="T23">
        <f t="shared" si="7"/>
        <v>3</v>
      </c>
      <c r="V23">
        <v>16</v>
      </c>
      <c r="W23">
        <f t="shared" si="8"/>
        <v>0</v>
      </c>
    </row>
    <row r="24" spans="1:23">
      <c r="A24" s="1" t="s">
        <v>103</v>
      </c>
      <c r="B24" s="1"/>
      <c r="C24" s="1" t="s">
        <v>142</v>
      </c>
      <c r="D24" s="1" t="s">
        <v>140</v>
      </c>
      <c r="E24" s="1" t="s">
        <v>141</v>
      </c>
      <c r="F24" s="1">
        <f>_xlfn.XLOOKUP(E24,'rank lookup'!$A$1:$A$21,'rank lookup'!$B$1:$B$21,,0)</f>
        <v>10</v>
      </c>
      <c r="G24" s="1"/>
      <c r="H24" s="19">
        <v>184</v>
      </c>
      <c r="I24" s="19">
        <v>163</v>
      </c>
      <c r="J24" s="5">
        <f t="shared" si="0"/>
        <v>48.145085066162572</v>
      </c>
      <c r="K24" s="4">
        <f t="shared" si="1"/>
        <v>72.440944881889763</v>
      </c>
      <c r="L24">
        <f t="shared" si="2"/>
        <v>6</v>
      </c>
      <c r="M24">
        <f t="shared" si="3"/>
        <v>0.4</v>
      </c>
      <c r="N24" t="str">
        <f t="shared" si="4"/>
        <v>6' 0.4"</v>
      </c>
      <c r="O24">
        <f t="shared" si="5"/>
        <v>359</v>
      </c>
      <c r="P24">
        <f t="shared" si="6"/>
        <v>22</v>
      </c>
      <c r="Q24">
        <f t="shared" si="6"/>
        <v>19</v>
      </c>
      <c r="R24">
        <f t="shared" si="6"/>
        <v>22</v>
      </c>
      <c r="S24">
        <f>_xlfn.XLOOKUP(A24,'November 2022 Data'!$A$4:$A$48,'November 2022 Data'!$H$4:$H$48,,0)</f>
        <v>161</v>
      </c>
      <c r="T24">
        <f t="shared" si="7"/>
        <v>2</v>
      </c>
    </row>
    <row r="25" spans="1:23">
      <c r="A25" s="1" t="s">
        <v>97</v>
      </c>
      <c r="B25" s="1"/>
      <c r="C25" s="1" t="s">
        <v>143</v>
      </c>
      <c r="D25" s="1" t="s">
        <v>135</v>
      </c>
      <c r="E25" s="1" t="s">
        <v>141</v>
      </c>
      <c r="F25" s="1">
        <f>_xlfn.XLOOKUP(E25,'rank lookup'!$A$1:$A$21,'rank lookup'!$B$1:$B$21,,0)</f>
        <v>10</v>
      </c>
      <c r="G25" s="1"/>
      <c r="H25" s="19">
        <v>189</v>
      </c>
      <c r="I25" s="19">
        <v>157</v>
      </c>
      <c r="J25" s="5">
        <f t="shared" si="0"/>
        <v>43.951737073430195</v>
      </c>
      <c r="K25" s="4">
        <f t="shared" si="1"/>
        <v>74.409448818897644</v>
      </c>
      <c r="L25">
        <f t="shared" si="2"/>
        <v>6</v>
      </c>
      <c r="M25">
        <f t="shared" si="3"/>
        <v>2.4</v>
      </c>
      <c r="N25" t="str">
        <f t="shared" si="4"/>
        <v>6' 2.4"</v>
      </c>
      <c r="O25">
        <f t="shared" si="5"/>
        <v>346</v>
      </c>
      <c r="P25">
        <f t="shared" si="6"/>
        <v>8</v>
      </c>
      <c r="Q25">
        <f t="shared" si="6"/>
        <v>26</v>
      </c>
      <c r="R25">
        <f t="shared" si="6"/>
        <v>30</v>
      </c>
      <c r="S25">
        <f>_xlfn.XLOOKUP(A25,'November 2022 Data'!$A$4:$A$48,'November 2022 Data'!$H$4:$H$48,,0)</f>
        <v>154</v>
      </c>
      <c r="T25">
        <f t="shared" si="7"/>
        <v>3</v>
      </c>
    </row>
    <row r="26" spans="1:23">
      <c r="A26" s="1" t="s">
        <v>89</v>
      </c>
      <c r="B26" s="1">
        <v>1</v>
      </c>
      <c r="C26" s="1" t="s">
        <v>42</v>
      </c>
      <c r="D26" s="1" t="s">
        <v>136</v>
      </c>
      <c r="E26" s="1" t="s">
        <v>135</v>
      </c>
      <c r="F26" s="1">
        <f>_xlfn.XLOOKUP(E26,'rank lookup'!$A$1:$A$21,'rank lookup'!$B$1:$B$21,,0)</f>
        <v>11</v>
      </c>
      <c r="G26" s="1"/>
      <c r="H26" s="19">
        <v>190</v>
      </c>
      <c r="I26" s="19">
        <v>212</v>
      </c>
      <c r="J26" s="5">
        <f t="shared" si="0"/>
        <v>58.725761772853183</v>
      </c>
      <c r="K26" s="4">
        <f t="shared" si="1"/>
        <v>74.803149606299215</v>
      </c>
      <c r="L26">
        <f t="shared" si="2"/>
        <v>6</v>
      </c>
      <c r="M26">
        <f t="shared" si="3"/>
        <v>2.8</v>
      </c>
      <c r="N26" t="str">
        <f t="shared" si="4"/>
        <v>6' 2.8"</v>
      </c>
      <c r="O26">
        <f t="shared" si="5"/>
        <v>467</v>
      </c>
      <c r="P26">
        <f t="shared" si="6"/>
        <v>5</v>
      </c>
      <c r="Q26">
        <f t="shared" si="6"/>
        <v>1</v>
      </c>
      <c r="R26">
        <f t="shared" si="6"/>
        <v>2</v>
      </c>
      <c r="S26">
        <f>_xlfn.XLOOKUP(A26,'November 2022 Data'!$A$4:$A$48,'November 2022 Data'!$H$4:$H$48,,0)</f>
        <v>212</v>
      </c>
      <c r="T26">
        <f t="shared" si="7"/>
        <v>0</v>
      </c>
    </row>
    <row r="27" spans="1:23">
      <c r="A27" s="1" t="s">
        <v>121</v>
      </c>
      <c r="B27" s="1"/>
      <c r="C27" s="1" t="s">
        <v>137</v>
      </c>
      <c r="D27" s="1" t="s">
        <v>137</v>
      </c>
      <c r="E27" s="1" t="s">
        <v>135</v>
      </c>
      <c r="F27" s="1">
        <f>_xlfn.XLOOKUP(E27,'rank lookup'!$A$1:$A$21,'rank lookup'!$B$1:$B$21,,0)</f>
        <v>11</v>
      </c>
      <c r="G27" s="1"/>
      <c r="H27" s="19">
        <v>175</v>
      </c>
      <c r="I27" s="19">
        <v>148</v>
      </c>
      <c r="J27" s="5">
        <f t="shared" si="0"/>
        <v>48.326530612244902</v>
      </c>
      <c r="K27" s="4">
        <f t="shared" si="1"/>
        <v>68.897637795275585</v>
      </c>
      <c r="L27">
        <f t="shared" si="2"/>
        <v>5</v>
      </c>
      <c r="M27">
        <f t="shared" si="3"/>
        <v>8.9</v>
      </c>
      <c r="N27" t="str">
        <f t="shared" si="4"/>
        <v>5' 8.9"</v>
      </c>
      <c r="O27">
        <f t="shared" si="5"/>
        <v>326</v>
      </c>
      <c r="P27">
        <f t="shared" si="6"/>
        <v>39</v>
      </c>
      <c r="Q27">
        <f t="shared" si="6"/>
        <v>31</v>
      </c>
      <c r="R27">
        <f t="shared" si="6"/>
        <v>20</v>
      </c>
      <c r="S27">
        <f>_xlfn.XLOOKUP(A27,'November 2022 Data'!$A$4:$A$48,'November 2022 Data'!$H$4:$H$48,,0)</f>
        <v>151</v>
      </c>
      <c r="T27">
        <f t="shared" si="7"/>
        <v>-3</v>
      </c>
    </row>
    <row r="28" spans="1:23">
      <c r="A28" s="1" t="s">
        <v>120</v>
      </c>
      <c r="B28" s="1"/>
      <c r="C28" s="1" t="s">
        <v>135</v>
      </c>
      <c r="D28" s="1" t="s">
        <v>147</v>
      </c>
      <c r="E28" s="1" t="s">
        <v>142</v>
      </c>
      <c r="F28" s="1">
        <f>_xlfn.XLOOKUP(E28,'rank lookup'!$A$1:$A$21,'rank lookup'!$B$1:$B$21,,0)</f>
        <v>12</v>
      </c>
      <c r="G28" s="1"/>
      <c r="H28" s="19">
        <v>178</v>
      </c>
      <c r="I28" s="19">
        <v>165</v>
      </c>
      <c r="J28" s="5">
        <f t="shared" si="0"/>
        <v>52.076757985102894</v>
      </c>
      <c r="K28" s="4">
        <f t="shared" si="1"/>
        <v>70.078740157480311</v>
      </c>
      <c r="L28">
        <f t="shared" si="2"/>
        <v>5</v>
      </c>
      <c r="M28">
        <f t="shared" si="3"/>
        <v>10.1</v>
      </c>
      <c r="N28" t="str">
        <f t="shared" si="4"/>
        <v>5' 10.1"</v>
      </c>
      <c r="O28">
        <f t="shared" si="5"/>
        <v>364</v>
      </c>
      <c r="P28">
        <f t="shared" si="6"/>
        <v>35</v>
      </c>
      <c r="Q28">
        <f t="shared" si="6"/>
        <v>16</v>
      </c>
      <c r="R28">
        <f t="shared" si="6"/>
        <v>9</v>
      </c>
      <c r="S28">
        <f>_xlfn.XLOOKUP(A28,'November 2022 Data'!$A$4:$A$48,'November 2022 Data'!$H$4:$H$48,,0)</f>
        <v>162</v>
      </c>
      <c r="T28">
        <f t="shared" si="7"/>
        <v>3</v>
      </c>
    </row>
    <row r="29" spans="1:23">
      <c r="A29" s="1" t="s">
        <v>88</v>
      </c>
      <c r="B29" s="1"/>
      <c r="C29" s="1" t="s">
        <v>150</v>
      </c>
      <c r="D29" s="1" t="s">
        <v>150</v>
      </c>
      <c r="E29" s="1" t="s">
        <v>142</v>
      </c>
      <c r="F29" s="1">
        <f>_xlfn.XLOOKUP(E29,'rank lookup'!$A$1:$A$21,'rank lookup'!$B$1:$B$21,,0)</f>
        <v>12</v>
      </c>
      <c r="G29" s="1"/>
      <c r="H29" s="19">
        <v>189</v>
      </c>
      <c r="I29" s="19">
        <v>179</v>
      </c>
      <c r="J29" s="5">
        <f t="shared" si="0"/>
        <v>50.110579211108309</v>
      </c>
      <c r="K29" s="4">
        <f t="shared" si="1"/>
        <v>74.409448818897644</v>
      </c>
      <c r="L29">
        <f t="shared" si="2"/>
        <v>6</v>
      </c>
      <c r="M29">
        <f t="shared" si="3"/>
        <v>2.4</v>
      </c>
      <c r="N29" t="str">
        <f t="shared" si="4"/>
        <v>6' 2.4"</v>
      </c>
      <c r="O29">
        <f t="shared" si="5"/>
        <v>395</v>
      </c>
      <c r="P29">
        <f t="shared" si="6"/>
        <v>8</v>
      </c>
      <c r="Q29">
        <f t="shared" si="6"/>
        <v>8</v>
      </c>
      <c r="R29">
        <f t="shared" si="6"/>
        <v>11</v>
      </c>
      <c r="S29">
        <f>_xlfn.XLOOKUP(A29,'November 2022 Data'!$A$4:$A$48,'November 2022 Data'!$H$4:$H$48,,0)</f>
        <v>176</v>
      </c>
      <c r="T29">
        <f t="shared" si="7"/>
        <v>3</v>
      </c>
    </row>
    <row r="30" spans="1:23">
      <c r="A30" s="1" t="s">
        <v>99</v>
      </c>
      <c r="B30" s="1"/>
      <c r="C30" s="1" t="s">
        <v>141</v>
      </c>
      <c r="D30" s="1" t="s">
        <v>135</v>
      </c>
      <c r="E30" s="1" t="s">
        <v>143</v>
      </c>
      <c r="F30" s="1">
        <f>_xlfn.XLOOKUP(E30,'rank lookup'!$A$1:$A$21,'rank lookup'!$B$1:$B$21,,0)</f>
        <v>13</v>
      </c>
      <c r="G30" s="1"/>
      <c r="H30" s="19">
        <v>183</v>
      </c>
      <c r="I30" s="19">
        <v>150</v>
      </c>
      <c r="J30" s="5">
        <f t="shared" si="0"/>
        <v>44.790826838663442</v>
      </c>
      <c r="K30" s="4">
        <f t="shared" si="1"/>
        <v>72.047244094488192</v>
      </c>
      <c r="L30">
        <f t="shared" si="2"/>
        <v>6</v>
      </c>
      <c r="M30">
        <f t="shared" si="3"/>
        <v>0</v>
      </c>
      <c r="N30" t="str">
        <f t="shared" si="4"/>
        <v>6' 0"</v>
      </c>
      <c r="O30">
        <f t="shared" si="5"/>
        <v>331</v>
      </c>
      <c r="P30">
        <f t="shared" si="6"/>
        <v>27</v>
      </c>
      <c r="Q30">
        <f t="shared" si="6"/>
        <v>30</v>
      </c>
      <c r="R30">
        <f t="shared" si="6"/>
        <v>28</v>
      </c>
      <c r="S30">
        <f>_xlfn.XLOOKUP(A30,'November 2022 Data'!$A$4:$A$48,'November 2022 Data'!$H$4:$H$48,,0)</f>
        <v>149</v>
      </c>
      <c r="T30">
        <f t="shared" si="7"/>
        <v>1</v>
      </c>
    </row>
    <row r="31" spans="1:23">
      <c r="A31" s="1" t="s">
        <v>101</v>
      </c>
      <c r="B31" s="1"/>
      <c r="C31" s="1" t="s">
        <v>145</v>
      </c>
      <c r="D31" s="1" t="s">
        <v>143</v>
      </c>
      <c r="E31" s="1" t="s">
        <v>143</v>
      </c>
      <c r="F31" s="1">
        <f>_xlfn.XLOOKUP(E31,'rank lookup'!$A$1:$A$21,'rank lookup'!$B$1:$B$21,,0)</f>
        <v>13</v>
      </c>
      <c r="G31" s="1"/>
      <c r="H31" s="19">
        <v>184</v>
      </c>
      <c r="I31" s="19">
        <v>167</v>
      </c>
      <c r="J31" s="5">
        <f t="shared" si="0"/>
        <v>49.326559546313803</v>
      </c>
      <c r="K31" s="4">
        <f t="shared" si="1"/>
        <v>72.440944881889763</v>
      </c>
      <c r="L31">
        <f t="shared" si="2"/>
        <v>6</v>
      </c>
      <c r="M31">
        <f t="shared" si="3"/>
        <v>0.4</v>
      </c>
      <c r="N31" t="str">
        <f t="shared" si="4"/>
        <v>6' 0.4"</v>
      </c>
      <c r="O31">
        <f t="shared" si="5"/>
        <v>368</v>
      </c>
      <c r="P31">
        <f t="shared" si="6"/>
        <v>22</v>
      </c>
      <c r="Q31">
        <f t="shared" si="6"/>
        <v>15</v>
      </c>
      <c r="R31">
        <f t="shared" si="6"/>
        <v>15</v>
      </c>
      <c r="S31">
        <f>_xlfn.XLOOKUP(A31,'November 2022 Data'!$A$4:$A$48,'November 2022 Data'!$H$4:$H$48,,0)</f>
        <v>167</v>
      </c>
      <c r="T31">
        <f t="shared" si="7"/>
        <v>0</v>
      </c>
    </row>
    <row r="32" spans="1:23">
      <c r="A32" s="1" t="s">
        <v>91</v>
      </c>
      <c r="B32" s="1"/>
      <c r="C32" s="1" t="s">
        <v>135</v>
      </c>
      <c r="D32" s="1" t="s">
        <v>145</v>
      </c>
      <c r="E32" s="1" t="s">
        <v>145</v>
      </c>
      <c r="F32" s="1">
        <f>_xlfn.XLOOKUP(E32,'rank lookup'!$A$1:$A$21,'rank lookup'!$B$1:$B$21,,0)</f>
        <v>14</v>
      </c>
      <c r="G32" s="1"/>
      <c r="H32" s="19">
        <v>190</v>
      </c>
      <c r="I32" s="19">
        <v>184</v>
      </c>
      <c r="J32" s="5">
        <f t="shared" si="0"/>
        <v>50.969529085872573</v>
      </c>
      <c r="K32" s="4">
        <f t="shared" si="1"/>
        <v>74.803149606299215</v>
      </c>
      <c r="L32">
        <f t="shared" si="2"/>
        <v>6</v>
      </c>
      <c r="M32">
        <f t="shared" si="3"/>
        <v>2.8</v>
      </c>
      <c r="N32" t="str">
        <f t="shared" si="4"/>
        <v>6' 2.8"</v>
      </c>
      <c r="O32">
        <f t="shared" si="5"/>
        <v>406</v>
      </c>
      <c r="P32">
        <f t="shared" si="6"/>
        <v>5</v>
      </c>
      <c r="Q32">
        <f t="shared" si="6"/>
        <v>4</v>
      </c>
      <c r="R32">
        <f t="shared" si="6"/>
        <v>10</v>
      </c>
      <c r="S32">
        <f>_xlfn.XLOOKUP(A32,'November 2022 Data'!$A$4:$A$48,'November 2022 Data'!$H$4:$H$48,,0)</f>
        <v>186</v>
      </c>
      <c r="T32">
        <f t="shared" si="7"/>
        <v>-2</v>
      </c>
    </row>
    <row r="33" spans="1:20">
      <c r="A33" t="s">
        <v>155</v>
      </c>
      <c r="C33" s="1" t="s">
        <v>154</v>
      </c>
      <c r="D33" s="1" t="s">
        <v>154</v>
      </c>
      <c r="E33" s="1" t="s">
        <v>145</v>
      </c>
      <c r="F33" s="1">
        <f>_xlfn.XLOOKUP(E33,'rank lookup'!$A$1:$A$21,'rank lookup'!$B$1:$B$21,,0)</f>
        <v>14</v>
      </c>
      <c r="G33" s="1"/>
      <c r="H33" s="19">
        <v>178</v>
      </c>
      <c r="I33" s="19">
        <v>138</v>
      </c>
      <c r="J33" s="5">
        <f t="shared" si="0"/>
        <v>43.555106678449697</v>
      </c>
      <c r="K33" s="4">
        <f t="shared" si="1"/>
        <v>70.078740157480311</v>
      </c>
      <c r="L33">
        <f t="shared" si="2"/>
        <v>5</v>
      </c>
      <c r="M33">
        <f t="shared" si="3"/>
        <v>10.1</v>
      </c>
      <c r="N33" t="str">
        <f t="shared" si="4"/>
        <v>5' 10.1"</v>
      </c>
      <c r="O33">
        <f t="shared" si="5"/>
        <v>304</v>
      </c>
      <c r="P33">
        <f t="shared" si="6"/>
        <v>35</v>
      </c>
      <c r="Q33">
        <f t="shared" si="6"/>
        <v>37</v>
      </c>
      <c r="R33">
        <f t="shared" si="6"/>
        <v>31</v>
      </c>
      <c r="S33">
        <f>_xlfn.XLOOKUP(A33,'November 2022 Data'!$A$4:$A$48,'November 2022 Data'!$H$4:$H$48,,0)</f>
        <v>135</v>
      </c>
      <c r="T33">
        <f t="shared" si="7"/>
        <v>3</v>
      </c>
    </row>
    <row r="34" spans="1:20">
      <c r="A34" s="1" t="s">
        <v>87</v>
      </c>
      <c r="B34" s="1">
        <v>1</v>
      </c>
      <c r="C34" s="1" t="s">
        <v>142</v>
      </c>
      <c r="D34" s="1" t="s">
        <v>142</v>
      </c>
      <c r="E34" s="1" t="s">
        <v>147</v>
      </c>
      <c r="F34" s="1">
        <f>_xlfn.XLOOKUP(E34,'rank lookup'!$A$1:$A$21,'rank lookup'!$B$1:$B$21,,0)</f>
        <v>15</v>
      </c>
      <c r="G34" s="1"/>
      <c r="H34" s="19">
        <v>192</v>
      </c>
      <c r="I34" s="19">
        <v>182</v>
      </c>
      <c r="J34" s="5">
        <f t="shared" si="0"/>
        <v>49.370659722222221</v>
      </c>
      <c r="K34" s="4">
        <f t="shared" si="1"/>
        <v>75.59055118110237</v>
      </c>
      <c r="L34">
        <f t="shared" si="2"/>
        <v>6</v>
      </c>
      <c r="M34">
        <f t="shared" si="3"/>
        <v>3.6</v>
      </c>
      <c r="N34" t="str">
        <f t="shared" si="4"/>
        <v>6' 3.6"</v>
      </c>
      <c r="O34">
        <f t="shared" si="5"/>
        <v>401</v>
      </c>
      <c r="P34">
        <f t="shared" si="6"/>
        <v>2</v>
      </c>
      <c r="Q34">
        <f t="shared" si="6"/>
        <v>5</v>
      </c>
      <c r="R34">
        <f t="shared" si="6"/>
        <v>14</v>
      </c>
      <c r="S34">
        <f>_xlfn.XLOOKUP(A34,'November 2022 Data'!$A$4:$A$48,'November 2022 Data'!$H$4:$H$48,,0)</f>
        <v>179</v>
      </c>
      <c r="T34">
        <f t="shared" si="7"/>
        <v>3</v>
      </c>
    </row>
    <row r="35" spans="1:20">
      <c r="A35" s="1" t="s">
        <v>110</v>
      </c>
      <c r="B35" s="1"/>
      <c r="C35" s="1" t="s">
        <v>151</v>
      </c>
      <c r="D35" s="1" t="s">
        <v>145</v>
      </c>
      <c r="E35" s="1" t="s">
        <v>147</v>
      </c>
      <c r="F35" s="1">
        <f>_xlfn.XLOOKUP(E35,'rank lookup'!$A$1:$A$21,'rank lookup'!$B$1:$B$21,,0)</f>
        <v>15</v>
      </c>
      <c r="G35" s="1"/>
      <c r="H35" s="19">
        <v>183</v>
      </c>
      <c r="I35" s="19">
        <v>137</v>
      </c>
      <c r="J35" s="5">
        <f t="shared" si="0"/>
        <v>40.908955179312613</v>
      </c>
      <c r="K35" s="4">
        <f t="shared" si="1"/>
        <v>72.047244094488192</v>
      </c>
      <c r="L35">
        <f t="shared" si="2"/>
        <v>6</v>
      </c>
      <c r="M35">
        <f t="shared" si="3"/>
        <v>0</v>
      </c>
      <c r="N35" t="str">
        <f t="shared" si="4"/>
        <v>6' 0"</v>
      </c>
      <c r="O35">
        <f t="shared" si="5"/>
        <v>302</v>
      </c>
      <c r="P35">
        <f t="shared" si="6"/>
        <v>27</v>
      </c>
      <c r="Q35">
        <f t="shared" si="6"/>
        <v>38</v>
      </c>
      <c r="R35">
        <f t="shared" si="6"/>
        <v>40</v>
      </c>
      <c r="S35">
        <f>_xlfn.XLOOKUP(A35,'November 2022 Data'!$A$4:$A$48,'November 2022 Data'!$H$4:$H$48,,0)</f>
        <v>135</v>
      </c>
      <c r="T35">
        <f t="shared" si="7"/>
        <v>2</v>
      </c>
    </row>
    <row r="36" spans="1:20">
      <c r="A36" s="1" t="s">
        <v>90</v>
      </c>
      <c r="B36" s="1"/>
      <c r="C36" s="1" t="s">
        <v>148</v>
      </c>
      <c r="D36" s="1" t="s">
        <v>150</v>
      </c>
      <c r="E36" s="1" t="s">
        <v>148</v>
      </c>
      <c r="F36" s="1">
        <f>_xlfn.XLOOKUP(E36,'rank lookup'!$A$1:$A$21,'rank lookup'!$B$1:$B$21,,0)</f>
        <v>16</v>
      </c>
      <c r="G36" s="1"/>
      <c r="H36" s="19">
        <v>189</v>
      </c>
      <c r="I36" s="19">
        <v>161</v>
      </c>
      <c r="J36" s="5">
        <f t="shared" si="0"/>
        <v>45.071526553008034</v>
      </c>
      <c r="K36" s="4">
        <f t="shared" si="1"/>
        <v>74.409448818897644</v>
      </c>
      <c r="L36">
        <f t="shared" si="2"/>
        <v>6</v>
      </c>
      <c r="M36">
        <f t="shared" si="3"/>
        <v>2.4</v>
      </c>
      <c r="N36" t="str">
        <f t="shared" si="4"/>
        <v>6' 2.4"</v>
      </c>
      <c r="O36">
        <f t="shared" si="5"/>
        <v>355</v>
      </c>
      <c r="P36">
        <f t="shared" si="6"/>
        <v>8</v>
      </c>
      <c r="Q36">
        <f t="shared" si="6"/>
        <v>23</v>
      </c>
      <c r="R36">
        <f t="shared" si="6"/>
        <v>26</v>
      </c>
      <c r="S36">
        <f>_xlfn.XLOOKUP(A36,'November 2022 Data'!$A$4:$A$48,'November 2022 Data'!$H$4:$H$48,,0)</f>
        <v>156</v>
      </c>
      <c r="T36">
        <f t="shared" si="7"/>
        <v>5</v>
      </c>
    </row>
    <row r="37" spans="1:20">
      <c r="A37" s="1" t="s">
        <v>167</v>
      </c>
      <c r="D37" t="s">
        <v>152</v>
      </c>
      <c r="E37" t="s">
        <v>148</v>
      </c>
      <c r="F37" s="1">
        <f>_xlfn.XLOOKUP(E37,'rank lookup'!$A$1:$A$21,'rank lookup'!$B$1:$B$21,,0)</f>
        <v>16</v>
      </c>
      <c r="H37" s="19">
        <v>193</v>
      </c>
      <c r="I37" s="19">
        <v>156</v>
      </c>
      <c r="J37" s="5">
        <f t="shared" si="0"/>
        <v>41.880318934736501</v>
      </c>
      <c r="K37" s="4">
        <f t="shared" si="1"/>
        <v>75.984251968503941</v>
      </c>
      <c r="L37">
        <f t="shared" si="2"/>
        <v>6</v>
      </c>
      <c r="M37">
        <f t="shared" si="3"/>
        <v>4</v>
      </c>
      <c r="N37" t="str">
        <f t="shared" si="4"/>
        <v>6' 4"</v>
      </c>
      <c r="O37">
        <f t="shared" si="5"/>
        <v>344</v>
      </c>
      <c r="P37">
        <f t="shared" si="6"/>
        <v>1</v>
      </c>
      <c r="Q37">
        <f t="shared" si="6"/>
        <v>28</v>
      </c>
      <c r="R37">
        <f t="shared" si="6"/>
        <v>36</v>
      </c>
      <c r="S37">
        <f>_xlfn.XLOOKUP(A37,'November 2022 Data'!$A$4:$A$48,'November 2022 Data'!$H$4:$H$48,,0)</f>
        <v>155</v>
      </c>
      <c r="T37">
        <f t="shared" si="7"/>
        <v>1</v>
      </c>
    </row>
    <row r="38" spans="1:20">
      <c r="A38" t="s">
        <v>146</v>
      </c>
      <c r="C38" s="1" t="s">
        <v>147</v>
      </c>
      <c r="D38" s="1" t="s">
        <v>147</v>
      </c>
      <c r="E38" s="1" t="s">
        <v>150</v>
      </c>
      <c r="F38" s="1">
        <f>_xlfn.XLOOKUP(E38,'rank lookup'!$A$1:$A$21,'rank lookup'!$B$1:$B$21,,0)</f>
        <v>17</v>
      </c>
      <c r="G38" s="1"/>
      <c r="H38" s="19">
        <v>189</v>
      </c>
      <c r="I38" s="19">
        <v>163</v>
      </c>
      <c r="J38" s="5">
        <f t="shared" si="0"/>
        <v>45.631421292796958</v>
      </c>
      <c r="K38" s="4">
        <f t="shared" si="1"/>
        <v>74.409448818897644</v>
      </c>
      <c r="L38">
        <f t="shared" si="2"/>
        <v>6</v>
      </c>
      <c r="M38">
        <f t="shared" si="3"/>
        <v>2.4</v>
      </c>
      <c r="N38" t="str">
        <f t="shared" si="4"/>
        <v>6' 2.4"</v>
      </c>
      <c r="O38">
        <f t="shared" si="5"/>
        <v>359</v>
      </c>
      <c r="P38">
        <f t="shared" si="6"/>
        <v>8</v>
      </c>
      <c r="Q38">
        <f t="shared" si="6"/>
        <v>19</v>
      </c>
      <c r="R38">
        <f t="shared" si="6"/>
        <v>24</v>
      </c>
      <c r="S38">
        <f>_xlfn.XLOOKUP(A38,'November 2022 Data'!$A$4:$A$48,'November 2022 Data'!$H$4:$H$48,,0)</f>
        <v>158</v>
      </c>
      <c r="T38">
        <f t="shared" si="7"/>
        <v>5</v>
      </c>
    </row>
    <row r="39" spans="1:20">
      <c r="A39" s="1" t="s">
        <v>122</v>
      </c>
      <c r="B39" s="1"/>
      <c r="C39" s="1" t="s">
        <v>143</v>
      </c>
      <c r="D39" s="1" t="s">
        <v>148</v>
      </c>
      <c r="E39" s="1" t="s">
        <v>150</v>
      </c>
      <c r="F39" s="1">
        <f>_xlfn.XLOOKUP(E39,'rank lookup'!$A$1:$A$21,'rank lookup'!$B$1:$B$21,,0)</f>
        <v>17</v>
      </c>
      <c r="G39" s="1"/>
      <c r="H39" s="19">
        <v>176</v>
      </c>
      <c r="I39" s="19">
        <v>128</v>
      </c>
      <c r="J39" s="5">
        <f t="shared" si="0"/>
        <v>41.32231404958678</v>
      </c>
      <c r="K39" s="4">
        <f t="shared" si="1"/>
        <v>69.29133858267717</v>
      </c>
      <c r="L39">
        <f t="shared" si="2"/>
        <v>5</v>
      </c>
      <c r="M39">
        <f t="shared" si="3"/>
        <v>9.3000000000000007</v>
      </c>
      <c r="N39" t="str">
        <f t="shared" si="4"/>
        <v>5' 9.3"</v>
      </c>
      <c r="O39">
        <f t="shared" si="5"/>
        <v>282</v>
      </c>
      <c r="P39">
        <f t="shared" si="6"/>
        <v>38</v>
      </c>
      <c r="Q39">
        <f t="shared" si="6"/>
        <v>41</v>
      </c>
      <c r="R39">
        <f t="shared" si="6"/>
        <v>39</v>
      </c>
      <c r="S39">
        <f>_xlfn.XLOOKUP(A39,'November 2022 Data'!$A$4:$A$48,'November 2022 Data'!$H$4:$H$48,,0)</f>
        <v>131</v>
      </c>
      <c r="T39">
        <f t="shared" si="7"/>
        <v>-3</v>
      </c>
    </row>
    <row r="40" spans="1:20">
      <c r="A40" s="1" t="s">
        <v>98</v>
      </c>
      <c r="B40" s="1"/>
      <c r="C40" s="1" t="s">
        <v>150</v>
      </c>
      <c r="D40" s="1" t="s">
        <v>151</v>
      </c>
      <c r="E40" s="1" t="s">
        <v>151</v>
      </c>
      <c r="F40" s="1">
        <f>_xlfn.XLOOKUP(E40,'rank lookup'!$A$1:$A$21,'rank lookup'!$B$1:$B$21,,0)</f>
        <v>18</v>
      </c>
      <c r="G40" s="1"/>
      <c r="H40" s="19">
        <v>187</v>
      </c>
      <c r="I40" s="19">
        <v>146</v>
      </c>
      <c r="J40" s="5">
        <f t="shared" si="0"/>
        <v>41.751265406502903</v>
      </c>
      <c r="K40" s="4">
        <f t="shared" si="1"/>
        <v>73.622047244094489</v>
      </c>
      <c r="L40">
        <f t="shared" si="2"/>
        <v>6</v>
      </c>
      <c r="M40">
        <f t="shared" si="3"/>
        <v>1.6</v>
      </c>
      <c r="N40" t="str">
        <f t="shared" si="4"/>
        <v>6' 1.6"</v>
      </c>
      <c r="O40">
        <f t="shared" si="5"/>
        <v>322</v>
      </c>
      <c r="P40">
        <f t="shared" si="6"/>
        <v>14</v>
      </c>
      <c r="Q40">
        <f t="shared" si="6"/>
        <v>32</v>
      </c>
      <c r="R40">
        <f t="shared" si="6"/>
        <v>37</v>
      </c>
      <c r="S40">
        <f>_xlfn.XLOOKUP(A40,'November 2022 Data'!$A$4:$A$48,'November 2022 Data'!$H$4:$H$48,,0)</f>
        <v>145</v>
      </c>
      <c r="T40">
        <f t="shared" si="7"/>
        <v>1</v>
      </c>
    </row>
    <row r="41" spans="1:20">
      <c r="A41" s="1" t="s">
        <v>166</v>
      </c>
      <c r="D41" t="s">
        <v>151</v>
      </c>
      <c r="E41" s="1" t="s">
        <v>151</v>
      </c>
      <c r="F41" s="1">
        <f>_xlfn.XLOOKUP(E41,'rank lookup'!$A$1:$A$21,'rank lookup'!$B$1:$B$21,,0)</f>
        <v>18</v>
      </c>
      <c r="H41" s="19">
        <v>191</v>
      </c>
      <c r="I41" s="19">
        <v>162</v>
      </c>
      <c r="J41" s="5">
        <f t="shared" si="0"/>
        <v>44.40667744853485</v>
      </c>
      <c r="K41" s="4">
        <f t="shared" si="1"/>
        <v>75.196850393700785</v>
      </c>
      <c r="L41">
        <f t="shared" si="2"/>
        <v>6</v>
      </c>
      <c r="M41">
        <f t="shared" si="3"/>
        <v>3.2</v>
      </c>
      <c r="N41" t="str">
        <f t="shared" si="4"/>
        <v>6' 3.2"</v>
      </c>
      <c r="O41">
        <f t="shared" si="5"/>
        <v>357</v>
      </c>
      <c r="P41">
        <f t="shared" si="6"/>
        <v>4</v>
      </c>
      <c r="Q41">
        <f t="shared" si="6"/>
        <v>22</v>
      </c>
      <c r="R41">
        <f t="shared" si="6"/>
        <v>29</v>
      </c>
      <c r="S41">
        <f>_xlfn.XLOOKUP(A41,'November 2022 Data'!$A$4:$A$48,'November 2022 Data'!$H$4:$H$48,,0)</f>
        <v>157</v>
      </c>
      <c r="T41">
        <f t="shared" si="7"/>
        <v>5</v>
      </c>
    </row>
    <row r="42" spans="1:20">
      <c r="A42" s="1" t="s">
        <v>108</v>
      </c>
      <c r="B42" s="1"/>
      <c r="C42" s="1" t="s">
        <v>152</v>
      </c>
      <c r="D42" s="1" t="s">
        <v>170</v>
      </c>
      <c r="E42" s="1" t="s">
        <v>152</v>
      </c>
      <c r="F42" s="1">
        <f>_xlfn.XLOOKUP(E42,'rank lookup'!$A$1:$A$21,'rank lookup'!$B$1:$B$21,,0)</f>
        <v>19</v>
      </c>
      <c r="G42" s="1"/>
      <c r="H42" s="19">
        <v>184</v>
      </c>
      <c r="I42" s="19">
        <v>200</v>
      </c>
      <c r="J42" s="5">
        <f t="shared" si="0"/>
        <v>59.073724007561438</v>
      </c>
      <c r="K42" s="4">
        <f t="shared" si="1"/>
        <v>72.440944881889763</v>
      </c>
      <c r="L42">
        <f t="shared" si="2"/>
        <v>6</v>
      </c>
      <c r="M42">
        <f t="shared" si="3"/>
        <v>0.4</v>
      </c>
      <c r="N42" t="str">
        <f t="shared" si="4"/>
        <v>6' 0.4"</v>
      </c>
      <c r="O42">
        <f t="shared" si="5"/>
        <v>441</v>
      </c>
      <c r="P42">
        <f t="shared" si="6"/>
        <v>22</v>
      </c>
      <c r="Q42">
        <f t="shared" si="6"/>
        <v>2</v>
      </c>
      <c r="R42">
        <f t="shared" si="6"/>
        <v>1</v>
      </c>
      <c r="S42">
        <f>_xlfn.XLOOKUP(A42,'November 2022 Data'!$A$4:$A$48,'November 2022 Data'!$H$4:$H$48,,0)</f>
        <v>200</v>
      </c>
      <c r="T42">
        <f t="shared" si="7"/>
        <v>0</v>
      </c>
    </row>
    <row r="43" spans="1:20">
      <c r="A43" t="s">
        <v>153</v>
      </c>
      <c r="C43" s="1" t="s">
        <v>154</v>
      </c>
      <c r="D43" s="1" t="s">
        <v>170</v>
      </c>
      <c r="E43" s="1" t="s">
        <v>152</v>
      </c>
      <c r="F43" s="1">
        <f>_xlfn.XLOOKUP(E43,'rank lookup'!$A$1:$A$21,'rank lookup'!$B$1:$B$21,,0)</f>
        <v>19</v>
      </c>
      <c r="G43" s="1"/>
      <c r="H43" s="19">
        <v>190</v>
      </c>
      <c r="I43" s="19">
        <v>197</v>
      </c>
      <c r="J43" s="5">
        <f t="shared" si="0"/>
        <v>54.57063711911357</v>
      </c>
      <c r="K43" s="4">
        <f t="shared" si="1"/>
        <v>74.803149606299215</v>
      </c>
      <c r="L43">
        <f t="shared" si="2"/>
        <v>6</v>
      </c>
      <c r="M43">
        <f t="shared" si="3"/>
        <v>2.8</v>
      </c>
      <c r="N43" t="str">
        <f t="shared" si="4"/>
        <v>6' 2.8"</v>
      </c>
      <c r="O43">
        <f t="shared" si="5"/>
        <v>434</v>
      </c>
      <c r="P43">
        <f t="shared" si="6"/>
        <v>5</v>
      </c>
      <c r="Q43">
        <f t="shared" si="6"/>
        <v>3</v>
      </c>
      <c r="R43">
        <f t="shared" si="6"/>
        <v>3</v>
      </c>
      <c r="S43">
        <f>_xlfn.XLOOKUP(A43,'November 2022 Data'!$A$4:$A$48,'November 2022 Data'!$H$4:$H$48,,0)</f>
        <v>197</v>
      </c>
      <c r="T43">
        <f t="shared" si="7"/>
        <v>0</v>
      </c>
    </row>
    <row r="44" spans="1:20">
      <c r="A44" s="1" t="s">
        <v>104</v>
      </c>
      <c r="B44" s="1"/>
      <c r="C44" s="1" t="s">
        <v>140</v>
      </c>
      <c r="D44" s="1" t="s">
        <v>142</v>
      </c>
      <c r="E44" s="1" t="s">
        <v>154</v>
      </c>
      <c r="F44" s="1">
        <f>_xlfn.XLOOKUP(E44,'rank lookup'!$A$1:$A$21,'rank lookup'!$B$1:$B$21,,0)</f>
        <v>20</v>
      </c>
      <c r="G44" s="1"/>
      <c r="H44" s="19">
        <v>186</v>
      </c>
      <c r="I44" s="19">
        <v>171</v>
      </c>
      <c r="J44" s="5">
        <f t="shared" si="0"/>
        <v>49.427679500520291</v>
      </c>
      <c r="K44" s="4">
        <f t="shared" si="1"/>
        <v>73.228346456692918</v>
      </c>
      <c r="L44">
        <f t="shared" si="2"/>
        <v>6</v>
      </c>
      <c r="M44">
        <f t="shared" si="3"/>
        <v>1.2</v>
      </c>
      <c r="N44" t="str">
        <f t="shared" si="4"/>
        <v>6' 1.2"</v>
      </c>
      <c r="O44">
        <f t="shared" si="5"/>
        <v>377</v>
      </c>
      <c r="P44">
        <f t="shared" si="6"/>
        <v>17</v>
      </c>
      <c r="Q44">
        <f t="shared" si="6"/>
        <v>13</v>
      </c>
      <c r="R44">
        <f t="shared" si="6"/>
        <v>13</v>
      </c>
      <c r="S44">
        <f>_xlfn.XLOOKUP(A44,'November 2022 Data'!$A$4:$A$48,'November 2022 Data'!$H$4:$H$48,,0)</f>
        <v>166</v>
      </c>
      <c r="T44">
        <f t="shared" si="7"/>
        <v>5</v>
      </c>
    </row>
    <row r="45" spans="1:20">
      <c r="A45" t="s">
        <v>119</v>
      </c>
      <c r="E45" s="1" t="s">
        <v>154</v>
      </c>
      <c r="F45" s="1">
        <f>_xlfn.XLOOKUP(E45,'rank lookup'!$A$1:$A$21,'rank lookup'!$B$1:$B$21,,0)</f>
        <v>20</v>
      </c>
      <c r="H45" s="19">
        <v>177</v>
      </c>
      <c r="I45" s="19">
        <v>169</v>
      </c>
      <c r="J45" s="5">
        <f t="shared" si="0"/>
        <v>53.943630502090713</v>
      </c>
      <c r="K45" s="4">
        <f t="shared" si="1"/>
        <v>69.685039370078741</v>
      </c>
      <c r="L45">
        <f t="shared" si="2"/>
        <v>5</v>
      </c>
      <c r="M45">
        <f t="shared" si="3"/>
        <v>9.6999999999999993</v>
      </c>
      <c r="N45" t="str">
        <f t="shared" si="4"/>
        <v>5' 9.7"</v>
      </c>
      <c r="O45">
        <f t="shared" si="5"/>
        <v>373</v>
      </c>
      <c r="P45">
        <f t="shared" si="6"/>
        <v>37</v>
      </c>
      <c r="Q45">
        <f t="shared" si="6"/>
        <v>14</v>
      </c>
      <c r="R45">
        <f t="shared" si="6"/>
        <v>5</v>
      </c>
    </row>
    <row r="46" spans="1:20">
      <c r="A46" s="1" t="s">
        <v>113</v>
      </c>
      <c r="B46" s="1"/>
      <c r="C46" s="1" t="s">
        <v>147</v>
      </c>
      <c r="D46" s="1" t="s">
        <v>148</v>
      </c>
      <c r="E46" s="1" t="s">
        <v>179</v>
      </c>
      <c r="F46" s="1" t="e">
        <f>_xlfn.XLOOKUP(E46,'rank lookup'!$A$1:$A$21,'rank lookup'!$B$1:$B$21,,0)</f>
        <v>#N/A</v>
      </c>
      <c r="G46" s="1"/>
      <c r="H46" s="19">
        <v>181</v>
      </c>
      <c r="I46" s="19">
        <v>189</v>
      </c>
      <c r="J46" s="5">
        <f t="shared" si="0"/>
        <v>57.690546686609082</v>
      </c>
      <c r="K46" s="4">
        <f t="shared" si="1"/>
        <v>71.259842519685037</v>
      </c>
      <c r="L46">
        <f t="shared" si="2"/>
        <v>5</v>
      </c>
      <c r="M46">
        <f t="shared" si="3"/>
        <v>11.3</v>
      </c>
      <c r="N46" t="str">
        <f t="shared" si="4"/>
        <v>5' 11.3"</v>
      </c>
      <c r="O46">
        <f t="shared" si="5"/>
        <v>417</v>
      </c>
    </row>
    <row r="47" spans="1:20">
      <c r="A47" s="1" t="s">
        <v>168</v>
      </c>
      <c r="D47" t="s">
        <v>152</v>
      </c>
      <c r="E47" s="1" t="s">
        <v>170</v>
      </c>
      <c r="F47" s="1" t="e">
        <f>_xlfn.XLOOKUP(E47,'rank lookup'!$A$1:$A$21,'rank lookup'!$B$1:$B$21,,0)</f>
        <v>#N/A</v>
      </c>
      <c r="H47" s="19">
        <v>185</v>
      </c>
      <c r="I47" s="19">
        <v>177</v>
      </c>
      <c r="J47" s="5">
        <f t="shared" si="0"/>
        <v>51.716581446311181</v>
      </c>
      <c r="K47" s="4">
        <f t="shared" si="1"/>
        <v>72.834645669291348</v>
      </c>
      <c r="L47">
        <f t="shared" si="2"/>
        <v>6</v>
      </c>
      <c r="M47">
        <f t="shared" si="3"/>
        <v>0.8</v>
      </c>
      <c r="N47" t="str">
        <f t="shared" si="4"/>
        <v>6' 0.8"</v>
      </c>
      <c r="O47">
        <f t="shared" si="5"/>
        <v>390</v>
      </c>
    </row>
    <row r="48" spans="1:20">
      <c r="A48" s="1" t="s">
        <v>126</v>
      </c>
      <c r="B48" s="1"/>
      <c r="C48" s="1" t="s">
        <v>152</v>
      </c>
      <c r="D48" s="1" t="s">
        <v>154</v>
      </c>
      <c r="E48" s="1" t="s">
        <v>180</v>
      </c>
      <c r="F48" s="1" t="e">
        <f>_xlfn.XLOOKUP(E48,'rank lookup'!$A$1:$A$21,'rank lookup'!$B$1:$B$21,,0)</f>
        <v>#N/A</v>
      </c>
      <c r="G48" s="1"/>
      <c r="H48" s="19">
        <v>169</v>
      </c>
      <c r="I48" s="19">
        <v>107</v>
      </c>
      <c r="J48" s="5">
        <f t="shared" si="0"/>
        <v>37.463674241098005</v>
      </c>
      <c r="K48" s="4">
        <f t="shared" si="1"/>
        <v>66.535433070866134</v>
      </c>
      <c r="L48">
        <f t="shared" si="2"/>
        <v>5</v>
      </c>
      <c r="M48">
        <f t="shared" si="3"/>
        <v>6.5</v>
      </c>
      <c r="N48" t="str">
        <f t="shared" si="4"/>
        <v>5' 6.5"</v>
      </c>
      <c r="O48">
        <f t="shared" si="5"/>
        <v>236</v>
      </c>
    </row>
    <row r="49" spans="1:15">
      <c r="A49" s="1" t="s">
        <v>107</v>
      </c>
      <c r="B49" s="1"/>
      <c r="C49" s="1" t="s">
        <v>151</v>
      </c>
      <c r="D49" s="1" t="s">
        <v>169</v>
      </c>
      <c r="E49" s="1" t="s">
        <v>179</v>
      </c>
      <c r="F49" s="1" t="e">
        <f>_xlfn.XLOOKUP(E49,'rank lookup'!$A$1:$A$21,'rank lookup'!$B$1:$B$21,,0)</f>
        <v>#N/A</v>
      </c>
      <c r="G49" s="1"/>
      <c r="H49" s="19">
        <v>185</v>
      </c>
      <c r="I49" s="19">
        <v>181</v>
      </c>
      <c r="J49" s="5">
        <f t="shared" si="0"/>
        <v>52.885317750182615</v>
      </c>
      <c r="K49" s="4">
        <f t="shared" si="1"/>
        <v>72.834645669291348</v>
      </c>
      <c r="L49">
        <f t="shared" si="2"/>
        <v>6</v>
      </c>
      <c r="M49">
        <f t="shared" si="3"/>
        <v>0.8</v>
      </c>
      <c r="N49" t="str">
        <f t="shared" si="4"/>
        <v>6' 0.8"</v>
      </c>
      <c r="O49">
        <f t="shared" si="5"/>
        <v>399</v>
      </c>
    </row>
  </sheetData>
  <autoFilter ref="A3:O38" xr:uid="{7067DD38-AD06-4250-9520-A2F29B57D9C0}">
    <sortState xmlns:xlrd2="http://schemas.microsoft.com/office/spreadsheetml/2017/richdata2" ref="A4:O49">
      <sortCondition ref="F3:F38"/>
    </sortState>
  </autoFilter>
  <hyperlinks>
    <hyperlink ref="C2" r:id="rId1" xr:uid="{56B2D7DA-A872-4581-8686-C2C72C36CD2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zoomScale="106" zoomScaleNormal="106" workbookViewId="0">
      <pane xSplit="1" ySplit="3" topLeftCell="B18" activePane="bottomRight" state="frozen"/>
      <selection pane="topRight" activeCell="B1" sqref="B1"/>
      <selection pane="bottomLeft" activeCell="A4" sqref="A4"/>
      <selection pane="bottomRight" activeCell="J19" sqref="J19"/>
    </sheetView>
  </sheetViews>
  <sheetFormatPr defaultRowHeight="14.5"/>
  <cols>
    <col min="1" max="6" width="21.1796875" customWidth="1"/>
    <col min="9" max="9" width="11.26953125" bestFit="1" customWidth="1"/>
    <col min="10" max="10" width="8.7265625" style="4"/>
    <col min="17" max="17" width="9.54296875" customWidth="1"/>
  </cols>
  <sheetData>
    <row r="1" spans="1:19">
      <c r="C1" t="s">
        <v>174</v>
      </c>
    </row>
    <row r="2" spans="1:19">
      <c r="C2" s="17" t="s">
        <v>162</v>
      </c>
      <c r="D2" s="17"/>
      <c r="O2">
        <f>MAX(O4:O45)</f>
        <v>42</v>
      </c>
      <c r="P2">
        <f>MAX(P4:P45)</f>
        <v>42</v>
      </c>
      <c r="Q2">
        <f>MAX(Q4:Q45)</f>
        <v>42</v>
      </c>
    </row>
    <row r="3" spans="1:19">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c r="A4" s="1" t="s">
        <v>86</v>
      </c>
      <c r="B4" s="1">
        <v>7</v>
      </c>
      <c r="C4" s="1" t="s">
        <v>14</v>
      </c>
      <c r="D4" s="1" t="s">
        <v>14</v>
      </c>
      <c r="E4" s="1">
        <f>_xlfn.XLOOKUP(D4,'rank lookup'!$A$1:$A$21,'rank lookup'!$B$1:$B$21,,0)</f>
        <v>1</v>
      </c>
      <c r="F4" s="1" t="s">
        <v>165</v>
      </c>
      <c r="G4" s="19">
        <v>192</v>
      </c>
      <c r="H4" s="19">
        <v>181</v>
      </c>
      <c r="I4" s="5">
        <f t="shared" ref="I4:I41" si="0">H4/(G4*G4)*10000</f>
        <v>49.099392361111107</v>
      </c>
      <c r="J4" s="4">
        <f t="shared" ref="J4:J41" si="1">CONVERT(G4,"cm","in")</f>
        <v>75.59055118110237</v>
      </c>
      <c r="K4">
        <f t="shared" ref="K4:K41" si="2">_xlfn.FLOOR.MATH(J4/12)</f>
        <v>6</v>
      </c>
      <c r="L4">
        <f t="shared" ref="L4:L41" si="3">ROUND(J4-K4*12,1)</f>
        <v>3.6</v>
      </c>
      <c r="M4" t="str">
        <f t="shared" ref="M4:M41" si="4">K4&amp;"' "&amp;L4&amp;""""</f>
        <v>6' 3.6"</v>
      </c>
      <c r="N4">
        <f t="shared" ref="N4:N41" si="5">ROUND(CONVERT(H4,"kg","lbm"),0)</f>
        <v>399</v>
      </c>
      <c r="O4">
        <f>_xlfn.RANK.EQ(G4,G$4:G$45)</f>
        <v>2</v>
      </c>
      <c r="P4">
        <f>_xlfn.RANK.EQ(H4,H$4:H$45)</f>
        <v>5</v>
      </c>
      <c r="Q4">
        <f>_xlfn.RANK.EQ(I4,I$4:I$45)</f>
        <v>13</v>
      </c>
    </row>
    <row r="5" spans="1:19">
      <c r="A5" s="1" t="s">
        <v>123</v>
      </c>
      <c r="B5" s="1">
        <v>2</v>
      </c>
      <c r="C5" s="1" t="s">
        <v>39</v>
      </c>
      <c r="D5" s="1" t="s">
        <v>39</v>
      </c>
      <c r="E5" s="1">
        <f>_xlfn.XLOOKUP(D5,'rank lookup'!$A$1:$A$21,'rank lookup'!$B$1:$B$21,,0)</f>
        <v>2</v>
      </c>
      <c r="F5" s="1"/>
      <c r="G5" s="19">
        <v>175</v>
      </c>
      <c r="H5" s="19">
        <v>163</v>
      </c>
      <c r="I5" s="5">
        <f t="shared" si="0"/>
        <v>53.224489795918366</v>
      </c>
      <c r="J5" s="4">
        <f t="shared" si="1"/>
        <v>68.897637795275585</v>
      </c>
      <c r="K5">
        <f t="shared" si="2"/>
        <v>5</v>
      </c>
      <c r="L5">
        <f t="shared" si="3"/>
        <v>8.9</v>
      </c>
      <c r="M5" t="str">
        <f t="shared" si="4"/>
        <v>5' 8.9"</v>
      </c>
      <c r="N5">
        <f t="shared" si="5"/>
        <v>359</v>
      </c>
      <c r="O5">
        <f t="shared" ref="O5:Q45" si="6">_xlfn.RANK.EQ(G5,G$4:G$45)</f>
        <v>38</v>
      </c>
      <c r="P5">
        <f t="shared" si="6"/>
        <v>15</v>
      </c>
      <c r="Q5">
        <f t="shared" si="6"/>
        <v>4</v>
      </c>
    </row>
    <row r="6" spans="1:19">
      <c r="A6" s="1" t="s">
        <v>109</v>
      </c>
      <c r="B6" s="1">
        <v>1</v>
      </c>
      <c r="C6" s="1" t="s">
        <v>39</v>
      </c>
      <c r="D6" s="1" t="s">
        <v>39</v>
      </c>
      <c r="E6" s="1">
        <f>_xlfn.XLOOKUP(D6,'rank lookup'!$A$1:$A$21,'rank lookup'!$B$1:$B$21,,0)</f>
        <v>2</v>
      </c>
      <c r="F6" s="1"/>
      <c r="G6" s="19">
        <v>183</v>
      </c>
      <c r="H6" s="19">
        <v>162</v>
      </c>
      <c r="I6" s="5">
        <f t="shared" si="0"/>
        <v>48.374092985756519</v>
      </c>
      <c r="J6" s="4">
        <f t="shared" si="1"/>
        <v>72.047244094488192</v>
      </c>
      <c r="K6">
        <f t="shared" si="2"/>
        <v>6</v>
      </c>
      <c r="L6">
        <f t="shared" si="3"/>
        <v>0</v>
      </c>
      <c r="M6" t="str">
        <f t="shared" si="4"/>
        <v>6' 0"</v>
      </c>
      <c r="N6">
        <f t="shared" si="5"/>
        <v>357</v>
      </c>
      <c r="O6">
        <f t="shared" si="6"/>
        <v>26</v>
      </c>
      <c r="P6">
        <f t="shared" si="6"/>
        <v>16</v>
      </c>
      <c r="Q6">
        <f t="shared" si="6"/>
        <v>17</v>
      </c>
    </row>
    <row r="7" spans="1:19">
      <c r="A7" s="1" t="s">
        <v>116</v>
      </c>
      <c r="B7" s="1">
        <v>2</v>
      </c>
      <c r="C7" s="1" t="s">
        <v>39</v>
      </c>
      <c r="D7" s="1" t="s">
        <v>31</v>
      </c>
      <c r="E7" s="1">
        <f>_xlfn.XLOOKUP(D7,'rank lookup'!$A$1:$A$21,'rank lookup'!$B$1:$B$21,,0)</f>
        <v>3</v>
      </c>
      <c r="F7" s="1"/>
      <c r="G7" s="19">
        <v>179</v>
      </c>
      <c r="H7" s="19">
        <v>171</v>
      </c>
      <c r="I7" s="5">
        <f t="shared" si="0"/>
        <v>53.369120813957117</v>
      </c>
      <c r="J7" s="4">
        <f t="shared" si="1"/>
        <v>70.472440944881896</v>
      </c>
      <c r="K7">
        <f t="shared" si="2"/>
        <v>5</v>
      </c>
      <c r="L7">
        <f t="shared" si="3"/>
        <v>10.5</v>
      </c>
      <c r="M7" t="str">
        <f t="shared" si="4"/>
        <v>5' 10.5"</v>
      </c>
      <c r="N7">
        <f t="shared" si="5"/>
        <v>377</v>
      </c>
      <c r="O7">
        <f t="shared" si="6"/>
        <v>34</v>
      </c>
      <c r="P7">
        <f t="shared" si="6"/>
        <v>10</v>
      </c>
      <c r="Q7">
        <f t="shared" si="6"/>
        <v>3</v>
      </c>
    </row>
    <row r="8" spans="1:19">
      <c r="A8" s="1" t="s">
        <v>114</v>
      </c>
      <c r="B8" s="1"/>
      <c r="C8" s="1" t="s">
        <v>31</v>
      </c>
      <c r="D8" s="1" t="s">
        <v>31</v>
      </c>
      <c r="E8" s="1">
        <f>_xlfn.XLOOKUP(D8,'rank lookup'!$A$1:$A$21,'rank lookup'!$B$1:$B$21,,0)</f>
        <v>3</v>
      </c>
      <c r="F8" s="1"/>
      <c r="G8" s="19">
        <v>183</v>
      </c>
      <c r="H8" s="19">
        <v>132</v>
      </c>
      <c r="I8" s="5">
        <f t="shared" si="0"/>
        <v>39.415927618023829</v>
      </c>
      <c r="J8" s="4">
        <f t="shared" si="1"/>
        <v>72.047244094488192</v>
      </c>
      <c r="K8">
        <f t="shared" si="2"/>
        <v>6</v>
      </c>
      <c r="L8">
        <f t="shared" si="3"/>
        <v>0</v>
      </c>
      <c r="M8" t="str">
        <f t="shared" si="4"/>
        <v>6' 0"</v>
      </c>
      <c r="N8">
        <f t="shared" si="5"/>
        <v>291</v>
      </c>
      <c r="O8">
        <f t="shared" si="6"/>
        <v>26</v>
      </c>
      <c r="P8">
        <f t="shared" si="6"/>
        <v>39</v>
      </c>
      <c r="Q8">
        <f t="shared" si="6"/>
        <v>39</v>
      </c>
    </row>
    <row r="9" spans="1:19">
      <c r="A9" s="1" t="s">
        <v>95</v>
      </c>
      <c r="B9" s="1"/>
      <c r="C9" s="1" t="s">
        <v>31</v>
      </c>
      <c r="D9" s="1" t="s">
        <v>31</v>
      </c>
      <c r="E9" s="1">
        <f>_xlfn.XLOOKUP(D9,'rank lookup'!$A$1:$A$21,'rank lookup'!$B$1:$B$21,,0)</f>
        <v>3</v>
      </c>
      <c r="F9" s="1"/>
      <c r="G9" s="19">
        <v>185</v>
      </c>
      <c r="H9" s="19">
        <v>140</v>
      </c>
      <c r="I9" s="5">
        <f t="shared" si="0"/>
        <v>40.905770635500367</v>
      </c>
      <c r="J9" s="4">
        <f t="shared" si="1"/>
        <v>72.834645669291348</v>
      </c>
      <c r="K9">
        <f t="shared" si="2"/>
        <v>6</v>
      </c>
      <c r="L9">
        <f t="shared" si="3"/>
        <v>0.8</v>
      </c>
      <c r="M9" t="str">
        <f t="shared" si="4"/>
        <v>6' 0.8"</v>
      </c>
      <c r="N9">
        <f t="shared" si="5"/>
        <v>309</v>
      </c>
      <c r="O9">
        <f t="shared" si="6"/>
        <v>19</v>
      </c>
      <c r="P9">
        <f t="shared" si="6"/>
        <v>33</v>
      </c>
      <c r="Q9">
        <f t="shared" si="6"/>
        <v>36</v>
      </c>
    </row>
    <row r="10" spans="1:19">
      <c r="A10" s="1" t="s">
        <v>112</v>
      </c>
      <c r="B10" s="1">
        <v>1</v>
      </c>
      <c r="C10" s="1" t="s">
        <v>31</v>
      </c>
      <c r="D10" s="1" t="s">
        <v>42</v>
      </c>
      <c r="E10" s="1">
        <f>_xlfn.XLOOKUP(D10,'rank lookup'!$A$1:$A$21,'rank lookup'!$B$1:$B$21,,0)</f>
        <v>4</v>
      </c>
      <c r="F10" s="1"/>
      <c r="G10" s="19">
        <v>182</v>
      </c>
      <c r="H10" s="19">
        <v>161</v>
      </c>
      <c r="I10" s="5">
        <f t="shared" si="0"/>
        <v>48.605240912933226</v>
      </c>
      <c r="J10" s="4">
        <f t="shared" si="1"/>
        <v>71.653543307086608</v>
      </c>
      <c r="K10">
        <f t="shared" si="2"/>
        <v>5</v>
      </c>
      <c r="L10">
        <f t="shared" si="3"/>
        <v>11.7</v>
      </c>
      <c r="M10" t="str">
        <f t="shared" si="4"/>
        <v>5' 11.7"</v>
      </c>
      <c r="N10">
        <f t="shared" si="5"/>
        <v>355</v>
      </c>
      <c r="O10">
        <f t="shared" si="6"/>
        <v>30</v>
      </c>
      <c r="P10">
        <f t="shared" si="6"/>
        <v>18</v>
      </c>
      <c r="Q10">
        <f t="shared" si="6"/>
        <v>15</v>
      </c>
    </row>
    <row r="11" spans="1:19">
      <c r="A11" s="1" t="s">
        <v>102</v>
      </c>
      <c r="B11" s="1"/>
      <c r="C11" s="1" t="s">
        <v>42</v>
      </c>
      <c r="D11" s="1" t="s">
        <v>42</v>
      </c>
      <c r="E11" s="1">
        <f>_xlfn.XLOOKUP(D11,'rank lookup'!$A$1:$A$21,'rank lookup'!$B$1:$B$21,,0)</f>
        <v>4</v>
      </c>
      <c r="F11" s="1"/>
      <c r="G11" s="19">
        <v>185</v>
      </c>
      <c r="H11" s="19">
        <v>138</v>
      </c>
      <c r="I11" s="5">
        <f t="shared" si="0"/>
        <v>40.321402483564647</v>
      </c>
      <c r="J11" s="4">
        <f t="shared" si="1"/>
        <v>72.834645669291348</v>
      </c>
      <c r="K11">
        <f t="shared" si="2"/>
        <v>6</v>
      </c>
      <c r="L11">
        <f t="shared" si="3"/>
        <v>0.8</v>
      </c>
      <c r="M11" t="str">
        <f t="shared" si="4"/>
        <v>6' 0.8"</v>
      </c>
      <c r="N11">
        <f t="shared" si="5"/>
        <v>304</v>
      </c>
      <c r="O11">
        <f t="shared" si="6"/>
        <v>19</v>
      </c>
      <c r="P11">
        <f t="shared" si="6"/>
        <v>34</v>
      </c>
      <c r="Q11">
        <f t="shared" si="6"/>
        <v>37</v>
      </c>
    </row>
    <row r="12" spans="1:19">
      <c r="A12" s="1" t="s">
        <v>124</v>
      </c>
      <c r="B12" s="1"/>
      <c r="C12" s="1" t="s">
        <v>132</v>
      </c>
      <c r="D12" s="1" t="s">
        <v>42</v>
      </c>
      <c r="E12" s="1">
        <f>_xlfn.XLOOKUP(D12,'rank lookup'!$A$1:$A$21,'rank lookup'!$B$1:$B$21,,0)</f>
        <v>4</v>
      </c>
      <c r="F12" s="1"/>
      <c r="G12" s="19">
        <v>174</v>
      </c>
      <c r="H12" s="19">
        <v>133</v>
      </c>
      <c r="I12" s="5">
        <f t="shared" si="0"/>
        <v>43.929184832870916</v>
      </c>
      <c r="J12" s="4">
        <f t="shared" si="1"/>
        <v>68.503937007874015</v>
      </c>
      <c r="K12">
        <f t="shared" si="2"/>
        <v>5</v>
      </c>
      <c r="L12">
        <f t="shared" si="3"/>
        <v>8.5</v>
      </c>
      <c r="M12" t="str">
        <f t="shared" si="4"/>
        <v>5' 8.5"</v>
      </c>
      <c r="N12">
        <f t="shared" si="5"/>
        <v>293</v>
      </c>
      <c r="O12">
        <f t="shared" si="6"/>
        <v>40</v>
      </c>
      <c r="P12">
        <f t="shared" si="6"/>
        <v>38</v>
      </c>
      <c r="Q12">
        <f t="shared" si="6"/>
        <v>25</v>
      </c>
    </row>
    <row r="13" spans="1:19">
      <c r="A13" s="1" t="s">
        <v>92</v>
      </c>
      <c r="B13" s="1">
        <v>2</v>
      </c>
      <c r="C13" s="1" t="s">
        <v>137</v>
      </c>
      <c r="D13" s="1" t="s">
        <v>42</v>
      </c>
      <c r="E13" s="1">
        <f>_xlfn.XLOOKUP(D13,'rank lookup'!$A$1:$A$21,'rank lookup'!$B$1:$B$21,,0)</f>
        <v>4</v>
      </c>
      <c r="F13" s="1"/>
      <c r="G13" s="19">
        <v>189</v>
      </c>
      <c r="H13" s="19">
        <v>174</v>
      </c>
      <c r="I13" s="5">
        <f t="shared" si="0"/>
        <v>48.710842361636011</v>
      </c>
      <c r="J13" s="4">
        <f t="shared" si="1"/>
        <v>74.409448818897644</v>
      </c>
      <c r="K13">
        <f t="shared" si="2"/>
        <v>6</v>
      </c>
      <c r="L13">
        <f t="shared" si="3"/>
        <v>2.4</v>
      </c>
      <c r="M13" t="str">
        <f t="shared" si="4"/>
        <v>6' 2.4"</v>
      </c>
      <c r="N13">
        <f t="shared" si="5"/>
        <v>384</v>
      </c>
      <c r="O13">
        <f t="shared" si="6"/>
        <v>7</v>
      </c>
      <c r="P13">
        <f t="shared" si="6"/>
        <v>9</v>
      </c>
      <c r="Q13">
        <f t="shared" si="6"/>
        <v>14</v>
      </c>
    </row>
    <row r="14" spans="1:19">
      <c r="A14" s="1" t="s">
        <v>94</v>
      </c>
      <c r="B14" s="1"/>
      <c r="C14" s="1" t="s">
        <v>136</v>
      </c>
      <c r="D14" s="1" t="s">
        <v>132</v>
      </c>
      <c r="E14" s="1">
        <f>_xlfn.XLOOKUP(D14,'rank lookup'!$A$1:$A$21,'rank lookup'!$B$1:$B$21,,0)</f>
        <v>5</v>
      </c>
      <c r="F14" s="1"/>
      <c r="G14" s="19">
        <v>189</v>
      </c>
      <c r="H14" s="19">
        <v>167</v>
      </c>
      <c r="I14" s="5">
        <f t="shared" si="0"/>
        <v>46.751210772374797</v>
      </c>
      <c r="J14" s="4">
        <f t="shared" si="1"/>
        <v>74.409448818897644</v>
      </c>
      <c r="K14">
        <f t="shared" si="2"/>
        <v>6</v>
      </c>
      <c r="L14">
        <f t="shared" si="3"/>
        <v>2.4</v>
      </c>
      <c r="M14" t="str">
        <f t="shared" si="4"/>
        <v>6' 2.4"</v>
      </c>
      <c r="N14">
        <f t="shared" si="5"/>
        <v>368</v>
      </c>
      <c r="O14">
        <f t="shared" si="6"/>
        <v>7</v>
      </c>
      <c r="P14">
        <f t="shared" si="6"/>
        <v>12</v>
      </c>
      <c r="Q14">
        <f t="shared" si="6"/>
        <v>21</v>
      </c>
    </row>
    <row r="15" spans="1:19">
      <c r="A15" s="1" t="s">
        <v>96</v>
      </c>
      <c r="B15" s="1"/>
      <c r="C15" s="1" t="s">
        <v>139</v>
      </c>
      <c r="D15" s="1" t="s">
        <v>132</v>
      </c>
      <c r="E15" s="1">
        <f>_xlfn.XLOOKUP(D15,'rank lookup'!$A$1:$A$21,'rank lookup'!$B$1:$B$21,,0)</f>
        <v>5</v>
      </c>
      <c r="F15" s="1"/>
      <c r="G15" s="19">
        <v>186</v>
      </c>
      <c r="H15" s="19">
        <v>182</v>
      </c>
      <c r="I15" s="5">
        <f t="shared" si="0"/>
        <v>52.607237830963122</v>
      </c>
      <c r="J15" s="4">
        <f t="shared" si="1"/>
        <v>73.228346456692918</v>
      </c>
      <c r="K15">
        <f t="shared" si="2"/>
        <v>6</v>
      </c>
      <c r="L15">
        <f t="shared" si="3"/>
        <v>1.2</v>
      </c>
      <c r="M15" t="str">
        <f t="shared" si="4"/>
        <v>6' 1.2"</v>
      </c>
      <c r="N15">
        <f t="shared" si="5"/>
        <v>401</v>
      </c>
      <c r="O15">
        <f t="shared" si="6"/>
        <v>16</v>
      </c>
      <c r="P15">
        <f t="shared" si="6"/>
        <v>4</v>
      </c>
      <c r="Q15">
        <f t="shared" si="6"/>
        <v>5</v>
      </c>
    </row>
    <row r="16" spans="1:19">
      <c r="A16" s="1" t="s">
        <v>89</v>
      </c>
      <c r="B16" s="1">
        <v>1</v>
      </c>
      <c r="C16" s="1" t="s">
        <v>42</v>
      </c>
      <c r="D16" s="1" t="s">
        <v>136</v>
      </c>
      <c r="E16" s="1">
        <f>_xlfn.XLOOKUP(D16,'rank lookup'!$A$1:$A$21,'rank lookup'!$B$1:$B$21,,0)</f>
        <v>6</v>
      </c>
      <c r="F16" s="1"/>
      <c r="G16" s="19">
        <v>190</v>
      </c>
      <c r="H16" s="19">
        <v>212</v>
      </c>
      <c r="I16" s="5">
        <f t="shared" si="0"/>
        <v>58.725761772853183</v>
      </c>
      <c r="J16" s="4">
        <f t="shared" si="1"/>
        <v>74.803149606299215</v>
      </c>
      <c r="K16">
        <f t="shared" si="2"/>
        <v>6</v>
      </c>
      <c r="L16">
        <f t="shared" si="3"/>
        <v>2.8</v>
      </c>
      <c r="M16" t="str">
        <f t="shared" si="4"/>
        <v>6' 2.8"</v>
      </c>
      <c r="N16">
        <f t="shared" si="5"/>
        <v>467</v>
      </c>
      <c r="O16">
        <f t="shared" si="6"/>
        <v>5</v>
      </c>
      <c r="P16">
        <f t="shared" si="6"/>
        <v>1</v>
      </c>
      <c r="Q16">
        <f t="shared" si="6"/>
        <v>1</v>
      </c>
    </row>
    <row r="17" spans="1:17">
      <c r="A17" s="1" t="s">
        <v>117</v>
      </c>
      <c r="B17" s="1"/>
      <c r="C17" s="1" t="s">
        <v>136</v>
      </c>
      <c r="D17" s="1" t="s">
        <v>136</v>
      </c>
      <c r="E17" s="1">
        <f>_xlfn.XLOOKUP(D17,'rank lookup'!$A$1:$A$21,'rank lookup'!$B$1:$B$21,,0)</f>
        <v>6</v>
      </c>
      <c r="F17" s="1"/>
      <c r="G17" s="19">
        <v>180</v>
      </c>
      <c r="H17" s="19">
        <v>153</v>
      </c>
      <c r="I17" s="5">
        <f t="shared" si="0"/>
        <v>47.222222222222221</v>
      </c>
      <c r="J17" s="4">
        <f t="shared" si="1"/>
        <v>70.866141732283467</v>
      </c>
      <c r="K17">
        <f t="shared" si="2"/>
        <v>5</v>
      </c>
      <c r="L17">
        <f t="shared" si="3"/>
        <v>10.9</v>
      </c>
      <c r="M17" t="str">
        <f t="shared" si="4"/>
        <v>5' 10.9"</v>
      </c>
      <c r="N17">
        <f t="shared" si="5"/>
        <v>337</v>
      </c>
      <c r="O17">
        <f t="shared" si="6"/>
        <v>33</v>
      </c>
      <c r="P17">
        <f t="shared" si="6"/>
        <v>26</v>
      </c>
      <c r="Q17">
        <f t="shared" si="6"/>
        <v>20</v>
      </c>
    </row>
    <row r="18" spans="1:17">
      <c r="A18" s="1" t="s">
        <v>133</v>
      </c>
      <c r="C18" t="s">
        <v>132</v>
      </c>
      <c r="D18" s="1" t="s">
        <v>137</v>
      </c>
      <c r="E18" s="1">
        <f>_xlfn.XLOOKUP(D18,'rank lookup'!$A$1:$A$21,'rank lookup'!$B$1:$B$21,,0)</f>
        <v>7</v>
      </c>
      <c r="F18" s="1"/>
      <c r="G18" s="19">
        <v>171</v>
      </c>
      <c r="H18" s="19">
        <v>114</v>
      </c>
      <c r="I18" s="5">
        <f t="shared" si="0"/>
        <v>38.98635477582846</v>
      </c>
      <c r="J18" s="4">
        <f t="shared" si="1"/>
        <v>67.322834645669289</v>
      </c>
      <c r="K18">
        <f t="shared" si="2"/>
        <v>5</v>
      </c>
      <c r="L18">
        <f t="shared" si="3"/>
        <v>7.3</v>
      </c>
      <c r="M18" t="str">
        <f t="shared" si="4"/>
        <v>5' 7.3"</v>
      </c>
      <c r="N18">
        <f t="shared" si="5"/>
        <v>251</v>
      </c>
      <c r="O18">
        <f t="shared" si="6"/>
        <v>41</v>
      </c>
      <c r="P18">
        <f t="shared" si="6"/>
        <v>41</v>
      </c>
      <c r="Q18">
        <f t="shared" si="6"/>
        <v>41</v>
      </c>
    </row>
    <row r="19" spans="1:17">
      <c r="A19" s="1" t="s">
        <v>121</v>
      </c>
      <c r="B19" s="1"/>
      <c r="C19" s="1" t="s">
        <v>137</v>
      </c>
      <c r="D19" s="1" t="s">
        <v>137</v>
      </c>
      <c r="E19" s="1">
        <f>_xlfn.XLOOKUP(D19,'rank lookup'!$A$1:$A$21,'rank lookup'!$B$1:$B$21,,0)</f>
        <v>7</v>
      </c>
      <c r="F19" s="1"/>
      <c r="G19" s="19">
        <v>175</v>
      </c>
      <c r="H19" s="19">
        <v>151</v>
      </c>
      <c r="I19" s="5">
        <f t="shared" si="0"/>
        <v>49.306122448979593</v>
      </c>
      <c r="J19" s="4">
        <f t="shared" si="1"/>
        <v>68.897637795275585</v>
      </c>
      <c r="K19">
        <f t="shared" si="2"/>
        <v>5</v>
      </c>
      <c r="L19">
        <f t="shared" si="3"/>
        <v>8.9</v>
      </c>
      <c r="M19" t="str">
        <f t="shared" si="4"/>
        <v>5' 8.9"</v>
      </c>
      <c r="N19">
        <f t="shared" si="5"/>
        <v>333</v>
      </c>
      <c r="O19">
        <f t="shared" si="6"/>
        <v>38</v>
      </c>
      <c r="P19">
        <f t="shared" si="6"/>
        <v>27</v>
      </c>
      <c r="Q19">
        <f t="shared" si="6"/>
        <v>11</v>
      </c>
    </row>
    <row r="20" spans="1:17">
      <c r="A20" s="1" t="s">
        <v>111</v>
      </c>
      <c r="B20" s="1"/>
      <c r="C20" s="1" t="s">
        <v>140</v>
      </c>
      <c r="D20" s="1" t="s">
        <v>139</v>
      </c>
      <c r="E20" s="1">
        <f>_xlfn.XLOOKUP(D20,'rank lookup'!$A$1:$A$21,'rank lookup'!$B$1:$B$21,,0)</f>
        <v>8</v>
      </c>
      <c r="F20" s="1"/>
      <c r="G20" s="19">
        <v>182</v>
      </c>
      <c r="H20" s="19">
        <v>141</v>
      </c>
      <c r="I20" s="5">
        <f t="shared" si="0"/>
        <v>42.567322787103002</v>
      </c>
      <c r="J20" s="4">
        <f t="shared" si="1"/>
        <v>71.653543307086608</v>
      </c>
      <c r="K20">
        <f t="shared" si="2"/>
        <v>5</v>
      </c>
      <c r="L20">
        <f t="shared" si="3"/>
        <v>11.7</v>
      </c>
      <c r="M20" t="str">
        <f t="shared" si="4"/>
        <v>5' 11.7"</v>
      </c>
      <c r="N20">
        <f t="shared" si="5"/>
        <v>311</v>
      </c>
      <c r="O20">
        <f t="shared" si="6"/>
        <v>30</v>
      </c>
      <c r="P20">
        <f t="shared" si="6"/>
        <v>32</v>
      </c>
      <c r="Q20">
        <f t="shared" si="6"/>
        <v>32</v>
      </c>
    </row>
    <row r="21" spans="1:17">
      <c r="A21" s="1" t="s">
        <v>100</v>
      </c>
      <c r="B21" s="1"/>
      <c r="C21" s="1" t="s">
        <v>141</v>
      </c>
      <c r="D21" s="1" t="s">
        <v>139</v>
      </c>
      <c r="E21" s="1">
        <f>_xlfn.XLOOKUP(D21,'rank lookup'!$A$1:$A$21,'rank lookup'!$B$1:$B$21,,0)</f>
        <v>8</v>
      </c>
      <c r="F21" s="1"/>
      <c r="G21" s="19">
        <v>186</v>
      </c>
      <c r="H21" s="19">
        <v>135</v>
      </c>
      <c r="I21" s="5">
        <f t="shared" si="0"/>
        <v>39.021852237252858</v>
      </c>
      <c r="J21" s="4">
        <f t="shared" si="1"/>
        <v>73.228346456692918</v>
      </c>
      <c r="K21">
        <f t="shared" si="2"/>
        <v>6</v>
      </c>
      <c r="L21">
        <f t="shared" si="3"/>
        <v>1.2</v>
      </c>
      <c r="M21" t="str">
        <f t="shared" si="4"/>
        <v>6' 1.2"</v>
      </c>
      <c r="N21">
        <f t="shared" si="5"/>
        <v>298</v>
      </c>
      <c r="O21">
        <f t="shared" si="6"/>
        <v>16</v>
      </c>
      <c r="P21">
        <f t="shared" si="6"/>
        <v>35</v>
      </c>
      <c r="Q21">
        <f t="shared" si="6"/>
        <v>40</v>
      </c>
    </row>
    <row r="22" spans="1:17">
      <c r="A22" s="1" t="s">
        <v>103</v>
      </c>
      <c r="B22" s="1"/>
      <c r="C22" s="1" t="s">
        <v>142</v>
      </c>
      <c r="D22" s="1" t="s">
        <v>140</v>
      </c>
      <c r="E22" s="1">
        <f>_xlfn.XLOOKUP(D22,'rank lookup'!$A$1:$A$21,'rank lookup'!$B$1:$B$21,,0)</f>
        <v>9</v>
      </c>
      <c r="F22" s="1"/>
      <c r="G22" s="19">
        <v>184</v>
      </c>
      <c r="H22" s="19">
        <v>161</v>
      </c>
      <c r="I22" s="5">
        <f t="shared" si="0"/>
        <v>47.554347826086961</v>
      </c>
      <c r="J22" s="4">
        <f t="shared" si="1"/>
        <v>72.440944881889763</v>
      </c>
      <c r="K22">
        <f t="shared" si="2"/>
        <v>6</v>
      </c>
      <c r="L22">
        <f t="shared" si="3"/>
        <v>0.4</v>
      </c>
      <c r="M22" t="str">
        <f t="shared" si="4"/>
        <v>6' 0.4"</v>
      </c>
      <c r="N22">
        <f t="shared" si="5"/>
        <v>355</v>
      </c>
      <c r="O22">
        <f t="shared" si="6"/>
        <v>22</v>
      </c>
      <c r="P22">
        <f t="shared" si="6"/>
        <v>18</v>
      </c>
      <c r="Q22">
        <f t="shared" si="6"/>
        <v>19</v>
      </c>
    </row>
    <row r="23" spans="1:17">
      <c r="A23" t="s">
        <v>144</v>
      </c>
      <c r="C23" s="1" t="s">
        <v>145</v>
      </c>
      <c r="D23" s="1" t="s">
        <v>140</v>
      </c>
      <c r="E23" s="1">
        <f>_xlfn.XLOOKUP(D23,'rank lookup'!$A$1:$A$21,'rank lookup'!$B$1:$B$21,,0)</f>
        <v>9</v>
      </c>
      <c r="F23" s="1"/>
      <c r="G23" s="19">
        <v>184</v>
      </c>
      <c r="H23" s="19">
        <v>148</v>
      </c>
      <c r="I23" s="5">
        <f t="shared" si="0"/>
        <v>43.714555765595463</v>
      </c>
      <c r="J23" s="4">
        <f t="shared" si="1"/>
        <v>72.440944881889763</v>
      </c>
      <c r="K23">
        <f t="shared" si="2"/>
        <v>6</v>
      </c>
      <c r="L23">
        <f t="shared" si="3"/>
        <v>0.4</v>
      </c>
      <c r="M23" t="str">
        <f t="shared" si="4"/>
        <v>6' 0.4"</v>
      </c>
      <c r="N23">
        <f t="shared" si="5"/>
        <v>326</v>
      </c>
      <c r="O23">
        <f t="shared" si="6"/>
        <v>22</v>
      </c>
      <c r="P23">
        <f t="shared" si="6"/>
        <v>30</v>
      </c>
      <c r="Q23">
        <f t="shared" si="6"/>
        <v>26</v>
      </c>
    </row>
    <row r="24" spans="1:17">
      <c r="A24" s="1" t="s">
        <v>138</v>
      </c>
      <c r="C24" s="1" t="s">
        <v>139</v>
      </c>
      <c r="D24" s="1" t="s">
        <v>141</v>
      </c>
      <c r="E24" s="1">
        <f>_xlfn.XLOOKUP(D24,'rank lookup'!$A$1:$A$21,'rank lookup'!$B$1:$B$21,,0)</f>
        <v>10</v>
      </c>
      <c r="F24" s="1"/>
      <c r="G24" s="19">
        <v>184</v>
      </c>
      <c r="H24" s="19">
        <v>170</v>
      </c>
      <c r="I24" s="5">
        <f t="shared" si="0"/>
        <v>50.21266540642722</v>
      </c>
      <c r="J24" s="4">
        <f t="shared" si="1"/>
        <v>72.440944881889763</v>
      </c>
      <c r="K24">
        <f t="shared" si="2"/>
        <v>6</v>
      </c>
      <c r="L24">
        <f t="shared" si="3"/>
        <v>0.4</v>
      </c>
      <c r="M24" t="str">
        <f t="shared" si="4"/>
        <v>6' 0.4"</v>
      </c>
      <c r="N24">
        <f t="shared" si="5"/>
        <v>375</v>
      </c>
      <c r="O24">
        <f t="shared" si="6"/>
        <v>22</v>
      </c>
      <c r="P24">
        <f t="shared" si="6"/>
        <v>11</v>
      </c>
      <c r="Q24">
        <f t="shared" si="6"/>
        <v>9</v>
      </c>
    </row>
    <row r="25" spans="1:17">
      <c r="A25" t="s">
        <v>149</v>
      </c>
      <c r="C25" s="1" t="s">
        <v>148</v>
      </c>
      <c r="D25" s="1" t="s">
        <v>141</v>
      </c>
      <c r="E25" s="1">
        <f>_xlfn.XLOOKUP(D25,'rank lookup'!$A$1:$A$21,'rank lookup'!$B$1:$B$21,,0)</f>
        <v>10</v>
      </c>
      <c r="F25" s="1"/>
      <c r="G25" s="20">
        <v>187</v>
      </c>
      <c r="H25" s="19">
        <v>154</v>
      </c>
      <c r="I25" s="5">
        <f t="shared" si="0"/>
        <v>44.039005976722237</v>
      </c>
      <c r="J25" s="4">
        <f t="shared" si="1"/>
        <v>73.622047244094489</v>
      </c>
      <c r="K25">
        <f t="shared" si="2"/>
        <v>6</v>
      </c>
      <c r="L25">
        <f t="shared" si="3"/>
        <v>1.6</v>
      </c>
      <c r="M25" t="str">
        <f t="shared" si="4"/>
        <v>6' 1.6"</v>
      </c>
      <c r="N25">
        <f t="shared" si="5"/>
        <v>340</v>
      </c>
      <c r="O25">
        <f t="shared" si="6"/>
        <v>13</v>
      </c>
      <c r="P25">
        <f t="shared" si="6"/>
        <v>24</v>
      </c>
      <c r="Q25">
        <f t="shared" si="6"/>
        <v>24</v>
      </c>
    </row>
    <row r="26" spans="1:17">
      <c r="A26" s="1" t="s">
        <v>99</v>
      </c>
      <c r="B26" s="1"/>
      <c r="C26" s="1" t="s">
        <v>141</v>
      </c>
      <c r="D26" s="1" t="s">
        <v>135</v>
      </c>
      <c r="E26" s="1">
        <f>_xlfn.XLOOKUP(D26,'rank lookup'!$A$1:$A$21,'rank lookup'!$B$1:$B$21,,0)</f>
        <v>11</v>
      </c>
      <c r="F26" s="1"/>
      <c r="G26" s="19">
        <v>183</v>
      </c>
      <c r="H26" s="19">
        <v>149</v>
      </c>
      <c r="I26" s="5">
        <f t="shared" si="0"/>
        <v>44.492221326405691</v>
      </c>
      <c r="J26" s="4">
        <f t="shared" si="1"/>
        <v>72.047244094488192</v>
      </c>
      <c r="K26">
        <f t="shared" si="2"/>
        <v>6</v>
      </c>
      <c r="L26">
        <f t="shared" si="3"/>
        <v>0</v>
      </c>
      <c r="M26" t="str">
        <f t="shared" si="4"/>
        <v>6' 0"</v>
      </c>
      <c r="N26">
        <f t="shared" si="5"/>
        <v>328</v>
      </c>
      <c r="O26">
        <f t="shared" si="6"/>
        <v>26</v>
      </c>
      <c r="P26">
        <f t="shared" si="6"/>
        <v>29</v>
      </c>
      <c r="Q26">
        <f t="shared" si="6"/>
        <v>22</v>
      </c>
    </row>
    <row r="27" spans="1:17">
      <c r="A27" s="1" t="s">
        <v>97</v>
      </c>
      <c r="B27" s="1"/>
      <c r="C27" s="1" t="s">
        <v>143</v>
      </c>
      <c r="D27" s="1" t="s">
        <v>135</v>
      </c>
      <c r="E27" s="1">
        <f>_xlfn.XLOOKUP(D27,'rank lookup'!$A$1:$A$21,'rank lookup'!$B$1:$B$21,,0)</f>
        <v>11</v>
      </c>
      <c r="F27" s="1"/>
      <c r="G27" s="19">
        <v>189</v>
      </c>
      <c r="H27" s="19">
        <v>154</v>
      </c>
      <c r="I27" s="5">
        <f t="shared" si="0"/>
        <v>43.111894963746821</v>
      </c>
      <c r="J27" s="4">
        <f t="shared" si="1"/>
        <v>74.409448818897644</v>
      </c>
      <c r="K27">
        <f t="shared" si="2"/>
        <v>6</v>
      </c>
      <c r="L27">
        <f t="shared" si="3"/>
        <v>2.4</v>
      </c>
      <c r="M27" t="str">
        <f t="shared" si="4"/>
        <v>6' 2.4"</v>
      </c>
      <c r="N27">
        <f t="shared" si="5"/>
        <v>340</v>
      </c>
      <c r="O27">
        <f t="shared" si="6"/>
        <v>7</v>
      </c>
      <c r="P27">
        <f t="shared" si="6"/>
        <v>24</v>
      </c>
      <c r="Q27">
        <f t="shared" si="6"/>
        <v>29</v>
      </c>
    </row>
    <row r="28" spans="1:17">
      <c r="A28" s="1" t="s">
        <v>104</v>
      </c>
      <c r="B28" s="1"/>
      <c r="C28" s="1" t="s">
        <v>140</v>
      </c>
      <c r="D28" s="1" t="s">
        <v>142</v>
      </c>
      <c r="E28" s="1">
        <f>_xlfn.XLOOKUP(D28,'rank lookup'!$A$1:$A$21,'rank lookup'!$B$1:$B$21,,0)</f>
        <v>12</v>
      </c>
      <c r="F28" s="1"/>
      <c r="G28" s="19">
        <v>186</v>
      </c>
      <c r="H28" s="19">
        <v>166</v>
      </c>
      <c r="I28" s="5">
        <f t="shared" si="0"/>
        <v>47.982425713955372</v>
      </c>
      <c r="J28" s="4">
        <f t="shared" si="1"/>
        <v>73.228346456692918</v>
      </c>
      <c r="K28">
        <f t="shared" si="2"/>
        <v>6</v>
      </c>
      <c r="L28">
        <f t="shared" si="3"/>
        <v>1.2</v>
      </c>
      <c r="M28" t="str">
        <f t="shared" si="4"/>
        <v>6' 1.2"</v>
      </c>
      <c r="N28">
        <f t="shared" si="5"/>
        <v>366</v>
      </c>
      <c r="O28">
        <f t="shared" si="6"/>
        <v>16</v>
      </c>
      <c r="P28">
        <f t="shared" si="6"/>
        <v>14</v>
      </c>
      <c r="Q28">
        <f t="shared" si="6"/>
        <v>18</v>
      </c>
    </row>
    <row r="29" spans="1:17">
      <c r="A29" s="1" t="s">
        <v>87</v>
      </c>
      <c r="B29" s="1">
        <v>1</v>
      </c>
      <c r="C29" s="1" t="s">
        <v>142</v>
      </c>
      <c r="D29" s="1" t="s">
        <v>142</v>
      </c>
      <c r="E29" s="1">
        <f>_xlfn.XLOOKUP(D29,'rank lookup'!$A$1:$A$21,'rank lookup'!$B$1:$B$21,,0)</f>
        <v>12</v>
      </c>
      <c r="F29" s="1"/>
      <c r="G29" s="19">
        <v>192</v>
      </c>
      <c r="H29" s="19">
        <v>179</v>
      </c>
      <c r="I29" s="5">
        <f t="shared" si="0"/>
        <v>48.556857638888893</v>
      </c>
      <c r="J29" s="4">
        <f t="shared" si="1"/>
        <v>75.59055118110237</v>
      </c>
      <c r="K29">
        <f t="shared" si="2"/>
        <v>6</v>
      </c>
      <c r="L29">
        <f t="shared" si="3"/>
        <v>3.6</v>
      </c>
      <c r="M29" t="str">
        <f t="shared" si="4"/>
        <v>6' 3.6"</v>
      </c>
      <c r="N29">
        <f t="shared" si="5"/>
        <v>395</v>
      </c>
      <c r="O29">
        <f t="shared" si="6"/>
        <v>2</v>
      </c>
      <c r="P29">
        <f t="shared" si="6"/>
        <v>6</v>
      </c>
      <c r="Q29">
        <f t="shared" si="6"/>
        <v>16</v>
      </c>
    </row>
    <row r="30" spans="1:17">
      <c r="A30" s="1" t="s">
        <v>93</v>
      </c>
      <c r="B30" s="1"/>
      <c r="C30" s="1" t="s">
        <v>42</v>
      </c>
      <c r="D30" s="1" t="s">
        <v>143</v>
      </c>
      <c r="E30" s="1">
        <f>_xlfn.XLOOKUP(D30,'rank lookup'!$A$1:$A$21,'rank lookup'!$B$1:$B$21,,0)</f>
        <v>13</v>
      </c>
      <c r="F30" s="1"/>
      <c r="G30" s="19">
        <v>187</v>
      </c>
      <c r="H30" s="19">
        <v>151</v>
      </c>
      <c r="I30" s="5">
        <f t="shared" si="0"/>
        <v>43.181103262889984</v>
      </c>
      <c r="J30" s="4">
        <f t="shared" si="1"/>
        <v>73.622047244094489</v>
      </c>
      <c r="K30">
        <f t="shared" si="2"/>
        <v>6</v>
      </c>
      <c r="L30">
        <f t="shared" si="3"/>
        <v>1.6</v>
      </c>
      <c r="M30" t="str">
        <f t="shared" si="4"/>
        <v>6' 1.6"</v>
      </c>
      <c r="N30">
        <f t="shared" si="5"/>
        <v>333</v>
      </c>
      <c r="O30">
        <f t="shared" si="6"/>
        <v>13</v>
      </c>
      <c r="P30">
        <f t="shared" si="6"/>
        <v>27</v>
      </c>
      <c r="Q30">
        <f t="shared" si="6"/>
        <v>28</v>
      </c>
    </row>
    <row r="31" spans="1:17">
      <c r="A31" s="1" t="s">
        <v>101</v>
      </c>
      <c r="B31" s="1"/>
      <c r="C31" s="1" t="s">
        <v>145</v>
      </c>
      <c r="D31" s="1" t="s">
        <v>143</v>
      </c>
      <c r="E31" s="1">
        <f>_xlfn.XLOOKUP(D31,'rank lookup'!$A$1:$A$21,'rank lookup'!$B$1:$B$21,,0)</f>
        <v>13</v>
      </c>
      <c r="F31" s="1"/>
      <c r="G31" s="19">
        <v>184</v>
      </c>
      <c r="H31" s="19">
        <v>167</v>
      </c>
      <c r="I31" s="5">
        <f t="shared" si="0"/>
        <v>49.326559546313803</v>
      </c>
      <c r="J31" s="4">
        <f t="shared" si="1"/>
        <v>72.440944881889763</v>
      </c>
      <c r="K31">
        <f t="shared" si="2"/>
        <v>6</v>
      </c>
      <c r="L31">
        <f t="shared" si="3"/>
        <v>0.4</v>
      </c>
      <c r="M31" t="str">
        <f t="shared" si="4"/>
        <v>6' 0.4"</v>
      </c>
      <c r="N31">
        <f t="shared" si="5"/>
        <v>368</v>
      </c>
      <c r="O31">
        <f t="shared" si="6"/>
        <v>22</v>
      </c>
      <c r="P31">
        <f t="shared" si="6"/>
        <v>12</v>
      </c>
      <c r="Q31">
        <f t="shared" si="6"/>
        <v>10</v>
      </c>
    </row>
    <row r="32" spans="1:17">
      <c r="A32" s="1" t="s">
        <v>91</v>
      </c>
      <c r="B32" s="1"/>
      <c r="C32" s="1" t="s">
        <v>135</v>
      </c>
      <c r="D32" s="1" t="s">
        <v>145</v>
      </c>
      <c r="E32" s="1">
        <f>_xlfn.XLOOKUP(D32,'rank lookup'!$A$1:$A$21,'rank lookup'!$B$1:$B$21,,0)</f>
        <v>14</v>
      </c>
      <c r="F32" s="1"/>
      <c r="G32" s="19">
        <v>190</v>
      </c>
      <c r="H32" s="19">
        <v>186</v>
      </c>
      <c r="I32" s="5">
        <f t="shared" si="0"/>
        <v>51.523545706371188</v>
      </c>
      <c r="J32" s="4">
        <f t="shared" si="1"/>
        <v>74.803149606299215</v>
      </c>
      <c r="K32">
        <f t="shared" si="2"/>
        <v>6</v>
      </c>
      <c r="L32">
        <f t="shared" si="3"/>
        <v>2.8</v>
      </c>
      <c r="M32" t="str">
        <f t="shared" si="4"/>
        <v>6' 2.8"</v>
      </c>
      <c r="N32">
        <f t="shared" si="5"/>
        <v>410</v>
      </c>
      <c r="O32">
        <f t="shared" si="6"/>
        <v>5</v>
      </c>
      <c r="P32">
        <f t="shared" si="6"/>
        <v>3</v>
      </c>
      <c r="Q32">
        <f t="shared" si="6"/>
        <v>7</v>
      </c>
    </row>
    <row r="33" spans="1:17">
      <c r="A33" s="1" t="s">
        <v>110</v>
      </c>
      <c r="B33" s="1"/>
      <c r="C33" s="1" t="s">
        <v>151</v>
      </c>
      <c r="D33" s="1" t="s">
        <v>145</v>
      </c>
      <c r="E33" s="1">
        <f>_xlfn.XLOOKUP(D33,'rank lookup'!$A$1:$A$21,'rank lookup'!$B$1:$B$21,,0)</f>
        <v>14</v>
      </c>
      <c r="F33" s="1"/>
      <c r="G33" s="19">
        <v>183</v>
      </c>
      <c r="H33" s="19">
        <v>135</v>
      </c>
      <c r="I33" s="5">
        <f t="shared" si="0"/>
        <v>40.311744154797097</v>
      </c>
      <c r="J33" s="4">
        <f t="shared" si="1"/>
        <v>72.047244094488192</v>
      </c>
      <c r="K33">
        <f t="shared" si="2"/>
        <v>6</v>
      </c>
      <c r="L33">
        <f t="shared" si="3"/>
        <v>0</v>
      </c>
      <c r="M33" t="str">
        <f t="shared" si="4"/>
        <v>6' 0"</v>
      </c>
      <c r="N33">
        <f t="shared" si="5"/>
        <v>298</v>
      </c>
      <c r="O33">
        <f t="shared" si="6"/>
        <v>26</v>
      </c>
      <c r="P33">
        <f t="shared" si="6"/>
        <v>35</v>
      </c>
      <c r="Q33">
        <f t="shared" si="6"/>
        <v>38</v>
      </c>
    </row>
    <row r="34" spans="1:17">
      <c r="A34" s="1" t="s">
        <v>120</v>
      </c>
      <c r="B34" s="1"/>
      <c r="C34" s="1" t="s">
        <v>135</v>
      </c>
      <c r="D34" s="1" t="s">
        <v>147</v>
      </c>
      <c r="E34" s="1">
        <f>_xlfn.XLOOKUP(D34,'rank lookup'!$A$1:$A$21,'rank lookup'!$B$1:$B$21,,0)</f>
        <v>15</v>
      </c>
      <c r="F34" s="1"/>
      <c r="G34" s="19">
        <v>178</v>
      </c>
      <c r="H34" s="19">
        <v>162</v>
      </c>
      <c r="I34" s="5">
        <f t="shared" si="0"/>
        <v>51.129907839919206</v>
      </c>
      <c r="J34" s="4">
        <f t="shared" si="1"/>
        <v>70.078740157480311</v>
      </c>
      <c r="K34">
        <f t="shared" si="2"/>
        <v>5</v>
      </c>
      <c r="L34">
        <f t="shared" si="3"/>
        <v>10.1</v>
      </c>
      <c r="M34" t="str">
        <f t="shared" si="4"/>
        <v>5' 10.1"</v>
      </c>
      <c r="N34">
        <f t="shared" si="5"/>
        <v>357</v>
      </c>
      <c r="O34">
        <f t="shared" si="6"/>
        <v>35</v>
      </c>
      <c r="P34">
        <f t="shared" si="6"/>
        <v>16</v>
      </c>
      <c r="Q34">
        <f t="shared" si="6"/>
        <v>8</v>
      </c>
    </row>
    <row r="35" spans="1:17">
      <c r="A35" t="s">
        <v>146</v>
      </c>
      <c r="C35" s="1" t="s">
        <v>147</v>
      </c>
      <c r="D35" s="1" t="s">
        <v>147</v>
      </c>
      <c r="E35" s="1">
        <f>_xlfn.XLOOKUP(D35,'rank lookup'!$A$1:$A$21,'rank lookup'!$B$1:$B$21,,0)</f>
        <v>15</v>
      </c>
      <c r="F35" s="1"/>
      <c r="G35" s="19">
        <v>189</v>
      </c>
      <c r="H35" s="19">
        <v>158</v>
      </c>
      <c r="I35" s="5">
        <f t="shared" si="0"/>
        <v>44.23168444332466</v>
      </c>
      <c r="J35" s="4">
        <f t="shared" si="1"/>
        <v>74.409448818897644</v>
      </c>
      <c r="K35">
        <f t="shared" si="2"/>
        <v>6</v>
      </c>
      <c r="L35">
        <f t="shared" si="3"/>
        <v>2.4</v>
      </c>
      <c r="M35" t="str">
        <f t="shared" si="4"/>
        <v>6' 2.4"</v>
      </c>
      <c r="N35">
        <f t="shared" si="5"/>
        <v>348</v>
      </c>
      <c r="O35">
        <f t="shared" si="6"/>
        <v>7</v>
      </c>
      <c r="P35">
        <f t="shared" si="6"/>
        <v>20</v>
      </c>
      <c r="Q35">
        <f t="shared" si="6"/>
        <v>23</v>
      </c>
    </row>
    <row r="36" spans="1:17">
      <c r="A36" s="1" t="s">
        <v>122</v>
      </c>
      <c r="B36" s="1"/>
      <c r="C36" s="1" t="s">
        <v>143</v>
      </c>
      <c r="D36" s="1" t="s">
        <v>148</v>
      </c>
      <c r="E36" s="1">
        <f>_xlfn.XLOOKUP(D36,'rank lookup'!$A$1:$A$21,'rank lookup'!$B$1:$B$21,,0)</f>
        <v>16</v>
      </c>
      <c r="F36" s="1"/>
      <c r="G36" s="19">
        <v>176</v>
      </c>
      <c r="H36" s="19">
        <v>131</v>
      </c>
      <c r="I36" s="5">
        <f t="shared" si="0"/>
        <v>42.290805785123965</v>
      </c>
      <c r="J36" s="4">
        <f t="shared" si="1"/>
        <v>69.29133858267717</v>
      </c>
      <c r="K36">
        <f t="shared" si="2"/>
        <v>5</v>
      </c>
      <c r="L36">
        <f t="shared" si="3"/>
        <v>9.3000000000000007</v>
      </c>
      <c r="M36" t="str">
        <f t="shared" si="4"/>
        <v>5' 9.3"</v>
      </c>
      <c r="N36">
        <f t="shared" si="5"/>
        <v>289</v>
      </c>
      <c r="O36">
        <f t="shared" si="6"/>
        <v>37</v>
      </c>
      <c r="P36">
        <f t="shared" si="6"/>
        <v>40</v>
      </c>
      <c r="Q36">
        <f t="shared" si="6"/>
        <v>33</v>
      </c>
    </row>
    <row r="37" spans="1:17">
      <c r="A37" s="1" t="s">
        <v>113</v>
      </c>
      <c r="B37" s="1"/>
      <c r="C37" s="1" t="s">
        <v>147</v>
      </c>
      <c r="D37" s="1" t="s">
        <v>148</v>
      </c>
      <c r="E37" s="1">
        <f>_xlfn.XLOOKUP(D37,'rank lookup'!$A$1:$A$21,'rank lookup'!$B$1:$B$21,,0)</f>
        <v>16</v>
      </c>
      <c r="F37" s="1"/>
      <c r="G37" s="19">
        <v>181</v>
      </c>
      <c r="H37" s="19">
        <v>189</v>
      </c>
      <c r="I37" s="5">
        <f t="shared" si="0"/>
        <v>57.690546686609082</v>
      </c>
      <c r="J37" s="4">
        <f t="shared" si="1"/>
        <v>71.259842519685037</v>
      </c>
      <c r="K37">
        <f t="shared" si="2"/>
        <v>5</v>
      </c>
      <c r="L37">
        <f t="shared" si="3"/>
        <v>11.3</v>
      </c>
      <c r="M37" t="str">
        <f t="shared" si="4"/>
        <v>5' 11.3"</v>
      </c>
      <c r="N37">
        <f t="shared" si="5"/>
        <v>417</v>
      </c>
      <c r="O37">
        <f t="shared" si="6"/>
        <v>32</v>
      </c>
      <c r="P37">
        <f t="shared" si="6"/>
        <v>2</v>
      </c>
      <c r="Q37">
        <f t="shared" si="6"/>
        <v>2</v>
      </c>
    </row>
    <row r="38" spans="1:17">
      <c r="A38" s="1" t="s">
        <v>90</v>
      </c>
      <c r="B38" s="1"/>
      <c r="C38" s="1" t="s">
        <v>148</v>
      </c>
      <c r="D38" s="1" t="s">
        <v>150</v>
      </c>
      <c r="E38" s="1">
        <f>_xlfn.XLOOKUP(D38,'rank lookup'!$A$1:$A$21,'rank lookup'!$B$1:$B$21,,0)</f>
        <v>17</v>
      </c>
      <c r="F38" s="1"/>
      <c r="G38" s="19">
        <v>189</v>
      </c>
      <c r="H38" s="19">
        <v>156</v>
      </c>
      <c r="I38" s="5">
        <f t="shared" si="0"/>
        <v>43.671789703535737</v>
      </c>
      <c r="J38" s="4">
        <f t="shared" si="1"/>
        <v>74.409448818897644</v>
      </c>
      <c r="K38">
        <f t="shared" si="2"/>
        <v>6</v>
      </c>
      <c r="L38">
        <f t="shared" si="3"/>
        <v>2.4</v>
      </c>
      <c r="M38" t="str">
        <f t="shared" si="4"/>
        <v>6' 2.4"</v>
      </c>
      <c r="N38">
        <f t="shared" si="5"/>
        <v>344</v>
      </c>
      <c r="O38">
        <f t="shared" si="6"/>
        <v>7</v>
      </c>
      <c r="P38">
        <f t="shared" si="6"/>
        <v>22</v>
      </c>
      <c r="Q38">
        <f t="shared" si="6"/>
        <v>27</v>
      </c>
    </row>
    <row r="39" spans="1:17">
      <c r="A39" s="1" t="s">
        <v>88</v>
      </c>
      <c r="B39" s="1"/>
      <c r="C39" s="1" t="s">
        <v>150</v>
      </c>
      <c r="D39" s="1" t="s">
        <v>150</v>
      </c>
      <c r="E39" s="1">
        <f>_xlfn.XLOOKUP(D39,'rank lookup'!$A$1:$A$21,'rank lookup'!$B$1:$B$21,,0)</f>
        <v>17</v>
      </c>
      <c r="F39" s="1"/>
      <c r="G39" s="19">
        <v>189</v>
      </c>
      <c r="H39" s="19">
        <v>176</v>
      </c>
      <c r="I39" s="5">
        <f t="shared" si="0"/>
        <v>49.270737101424935</v>
      </c>
      <c r="J39" s="4">
        <f t="shared" si="1"/>
        <v>74.409448818897644</v>
      </c>
      <c r="K39">
        <f t="shared" si="2"/>
        <v>6</v>
      </c>
      <c r="L39">
        <f t="shared" si="3"/>
        <v>2.4</v>
      </c>
      <c r="M39" t="str">
        <f t="shared" si="4"/>
        <v>6' 2.4"</v>
      </c>
      <c r="N39">
        <f t="shared" si="5"/>
        <v>388</v>
      </c>
      <c r="O39">
        <f t="shared" si="6"/>
        <v>7</v>
      </c>
      <c r="P39">
        <f t="shared" si="6"/>
        <v>8</v>
      </c>
      <c r="Q39">
        <f t="shared" si="6"/>
        <v>12</v>
      </c>
    </row>
    <row r="40" spans="1:17">
      <c r="A40" s="1" t="s">
        <v>98</v>
      </c>
      <c r="B40" s="1"/>
      <c r="C40" s="1" t="s">
        <v>150</v>
      </c>
      <c r="D40" s="1" t="s">
        <v>151</v>
      </c>
      <c r="E40" s="1">
        <f>_xlfn.XLOOKUP(D40,'rank lookup'!$A$1:$A$21,'rank lookup'!$B$1:$B$21,,0)</f>
        <v>18</v>
      </c>
      <c r="F40" s="1"/>
      <c r="G40" s="19">
        <v>187</v>
      </c>
      <c r="H40" s="19">
        <v>145</v>
      </c>
      <c r="I40" s="5">
        <f t="shared" si="0"/>
        <v>41.465297835225485</v>
      </c>
      <c r="J40" s="4">
        <f t="shared" si="1"/>
        <v>73.622047244094489</v>
      </c>
      <c r="K40">
        <f t="shared" si="2"/>
        <v>6</v>
      </c>
      <c r="L40">
        <f t="shared" si="3"/>
        <v>1.6</v>
      </c>
      <c r="M40" t="str">
        <f t="shared" si="4"/>
        <v>6' 1.6"</v>
      </c>
      <c r="N40">
        <f t="shared" si="5"/>
        <v>320</v>
      </c>
      <c r="O40">
        <f t="shared" si="6"/>
        <v>13</v>
      </c>
      <c r="P40">
        <f t="shared" si="6"/>
        <v>31</v>
      </c>
      <c r="Q40">
        <f t="shared" si="6"/>
        <v>35</v>
      </c>
    </row>
    <row r="41" spans="1:17">
      <c r="A41" s="1" t="s">
        <v>166</v>
      </c>
      <c r="D41" t="s">
        <v>151</v>
      </c>
      <c r="E41" s="1">
        <f>_xlfn.XLOOKUP(D41,'rank lookup'!$A$1:$A$21,'rank lookup'!$B$1:$B$21,,0)</f>
        <v>18</v>
      </c>
      <c r="G41" s="19">
        <v>191</v>
      </c>
      <c r="H41" s="19">
        <v>157</v>
      </c>
      <c r="I41" s="5">
        <f t="shared" si="0"/>
        <v>43.036100984073904</v>
      </c>
      <c r="J41" s="4">
        <f t="shared" si="1"/>
        <v>75.196850393700785</v>
      </c>
      <c r="K41">
        <f t="shared" si="2"/>
        <v>6</v>
      </c>
      <c r="L41">
        <f t="shared" si="3"/>
        <v>3.2</v>
      </c>
      <c r="M41" t="str">
        <f t="shared" si="4"/>
        <v>6' 3.2"</v>
      </c>
      <c r="N41">
        <f t="shared" si="5"/>
        <v>346</v>
      </c>
      <c r="O41">
        <f t="shared" si="6"/>
        <v>4</v>
      </c>
      <c r="P41">
        <f t="shared" si="6"/>
        <v>21</v>
      </c>
      <c r="Q41">
        <f t="shared" si="6"/>
        <v>30</v>
      </c>
    </row>
    <row r="42" spans="1:17">
      <c r="A42" s="1" t="s">
        <v>167</v>
      </c>
      <c r="D42" t="s">
        <v>152</v>
      </c>
      <c r="E42" s="1">
        <f>_xlfn.XLOOKUP(D42,'rank lookup'!$A$1:$A$21,'rank lookup'!$B$1:$B$21,,0)</f>
        <v>19</v>
      </c>
      <c r="G42" s="19">
        <v>193</v>
      </c>
      <c r="H42" s="19">
        <v>155</v>
      </c>
      <c r="I42" s="5">
        <f t="shared" ref="I42:I43" si="7">H42/(G42*G42)*10000</f>
        <v>41.611855351821525</v>
      </c>
      <c r="J42" s="4">
        <f t="shared" ref="J42:J43" si="8">CONVERT(G42,"cm","in")</f>
        <v>75.984251968503941</v>
      </c>
      <c r="K42">
        <f t="shared" ref="K42:K43" si="9">_xlfn.FLOOR.MATH(J42/12)</f>
        <v>6</v>
      </c>
      <c r="L42">
        <f t="shared" ref="L42:L43" si="10">ROUND(J42-K42*12,1)</f>
        <v>4</v>
      </c>
      <c r="M42" t="str">
        <f t="shared" ref="M42:M43" si="11">K42&amp;"' "&amp;L42&amp;""""</f>
        <v>6' 4"</v>
      </c>
      <c r="N42">
        <f t="shared" ref="N42:N43" si="12">ROUND(CONVERT(H42,"kg","lbm"),0)</f>
        <v>342</v>
      </c>
      <c r="O42">
        <f t="shared" si="6"/>
        <v>1</v>
      </c>
      <c r="P42">
        <f t="shared" si="6"/>
        <v>23</v>
      </c>
      <c r="Q42">
        <f t="shared" si="6"/>
        <v>34</v>
      </c>
    </row>
    <row r="43" spans="1:17">
      <c r="A43" s="1" t="s">
        <v>168</v>
      </c>
      <c r="D43" t="s">
        <v>152</v>
      </c>
      <c r="E43" s="1">
        <f>_xlfn.XLOOKUP(D43,'rank lookup'!$A$1:$A$21,'rank lookup'!$B$1:$B$21,,0)</f>
        <v>19</v>
      </c>
      <c r="G43" s="19">
        <v>185</v>
      </c>
      <c r="H43" s="19">
        <v>177</v>
      </c>
      <c r="I43" s="5">
        <f t="shared" si="7"/>
        <v>51.716581446311181</v>
      </c>
      <c r="J43" s="4">
        <f t="shared" si="8"/>
        <v>72.834645669291348</v>
      </c>
      <c r="K43">
        <f t="shared" si="9"/>
        <v>6</v>
      </c>
      <c r="L43">
        <f t="shared" si="10"/>
        <v>0.8</v>
      </c>
      <c r="M43" t="str">
        <f t="shared" si="11"/>
        <v>6' 0.8"</v>
      </c>
      <c r="N43">
        <f t="shared" si="12"/>
        <v>390</v>
      </c>
      <c r="O43">
        <f t="shared" si="6"/>
        <v>19</v>
      </c>
      <c r="P43">
        <f t="shared" si="6"/>
        <v>7</v>
      </c>
      <c r="Q43">
        <f t="shared" si="6"/>
        <v>6</v>
      </c>
    </row>
    <row r="44" spans="1:17">
      <c r="A44" s="1" t="s">
        <v>126</v>
      </c>
      <c r="B44" s="1"/>
      <c r="C44" s="1" t="s">
        <v>152</v>
      </c>
      <c r="D44" s="1" t="s">
        <v>154</v>
      </c>
      <c r="E44" s="1">
        <f>_xlfn.XLOOKUP(D44,'rank lookup'!$A$1:$A$21,'rank lookup'!$B$1:$B$21,,0)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6"/>
        <v>42</v>
      </c>
      <c r="P44">
        <f t="shared" si="6"/>
        <v>42</v>
      </c>
      <c r="Q44">
        <f t="shared" si="6"/>
        <v>42</v>
      </c>
    </row>
    <row r="45" spans="1:17">
      <c r="A45" t="s">
        <v>155</v>
      </c>
      <c r="C45" s="1" t="s">
        <v>154</v>
      </c>
      <c r="D45" s="1" t="s">
        <v>154</v>
      </c>
      <c r="E45" s="1">
        <f>_xlfn.XLOOKUP(D45,'rank lookup'!$A$1:$A$21,'rank lookup'!$B$1:$B$21,,0)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6"/>
        <v>35</v>
      </c>
      <c r="P45">
        <f t="shared" si="6"/>
        <v>35</v>
      </c>
      <c r="Q45">
        <f t="shared" si="6"/>
        <v>31</v>
      </c>
    </row>
    <row r="46" spans="1:17">
      <c r="A46" s="1" t="s">
        <v>108</v>
      </c>
      <c r="B46" s="1"/>
      <c r="C46" s="1" t="s">
        <v>152</v>
      </c>
      <c r="D46" s="1" t="s">
        <v>170</v>
      </c>
      <c r="E46" s="1" t="e">
        <f>_xlfn.XLOOKUP(D46,'rank lookup'!$A$1:$A$21,'rank lookup'!$B$1:$B$21,,0)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c r="A47" t="s">
        <v>153</v>
      </c>
      <c r="C47" s="1" t="s">
        <v>154</v>
      </c>
      <c r="D47" s="1" t="s">
        <v>170</v>
      </c>
      <c r="E47" s="1" t="e">
        <f>_xlfn.XLOOKUP(D47,'rank lookup'!$A$1:$A$21,'rank lookup'!$B$1:$B$21,,0)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c r="A48" s="1" t="s">
        <v>107</v>
      </c>
      <c r="B48" s="1"/>
      <c r="C48" s="1" t="s">
        <v>151</v>
      </c>
      <c r="D48" s="1" t="s">
        <v>169</v>
      </c>
      <c r="E48" s="1" t="e">
        <f>_xlfn.XLOOKUP(D48,'rank lookup'!$A$1:$A$21,'rank lookup'!$B$1:$B$21,,0)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1"/>
  <sheetViews>
    <sheetView workbookViewId="0">
      <selection activeCell="B19" sqref="B19"/>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186</v>
      </c>
      <c r="B18">
        <v>21</v>
      </c>
    </row>
    <row r="19" spans="1:2">
      <c r="A19" t="s">
        <v>39</v>
      </c>
      <c r="B19">
        <v>2</v>
      </c>
    </row>
    <row r="20" spans="1:2">
      <c r="A20" t="s">
        <v>31</v>
      </c>
      <c r="B20">
        <v>3</v>
      </c>
    </row>
    <row r="21" spans="1:2">
      <c r="A21" t="s">
        <v>14</v>
      </c>
      <c r="B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workbookViewId="0">
      <selection activeCell="K5" sqref="K5"/>
    </sheetView>
  </sheetViews>
  <sheetFormatPr defaultRowHeight="14.5"/>
  <cols>
    <col min="1" max="3" width="21.17968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17968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81A-04EB-414D-95D4-C2F7EC9BB789}">
  <dimension ref="A1:AA53"/>
  <sheetViews>
    <sheetView zoomScale="106" zoomScaleNormal="106" workbookViewId="0">
      <pane xSplit="1" ySplit="3" topLeftCell="L4" activePane="bottomRight" state="frozen"/>
      <selection pane="topRight" activeCell="B1" sqref="B1"/>
      <selection pane="bottomLeft" activeCell="A4" sqref="A4"/>
      <selection pane="bottomRight" activeCell="V3" sqref="V3"/>
    </sheetView>
  </sheetViews>
  <sheetFormatPr defaultRowHeight="14.5"/>
  <cols>
    <col min="1" max="8" width="21.1796875" customWidth="1"/>
    <col min="11" max="11" width="11.26953125" bestFit="1" customWidth="1"/>
    <col min="12" max="12" width="8.7265625" style="4"/>
    <col min="19" max="19" width="9.54296875" customWidth="1"/>
    <col min="23" max="23" width="17.90625" customWidth="1"/>
  </cols>
  <sheetData>
    <row r="1" spans="1:27">
      <c r="C1" t="s">
        <v>174</v>
      </c>
      <c r="I1" t="s">
        <v>197</v>
      </c>
    </row>
    <row r="2" spans="1:27">
      <c r="C2" s="17" t="s">
        <v>162</v>
      </c>
      <c r="D2" s="17"/>
      <c r="E2" s="17"/>
      <c r="F2" s="17"/>
      <c r="Q2">
        <f>MAX(Q4:Q45)</f>
        <v>41</v>
      </c>
      <c r="R2">
        <f>MAX(R4:R45)</f>
        <v>42</v>
      </c>
      <c r="S2">
        <f>MAX(S4:S45)</f>
        <v>42</v>
      </c>
    </row>
    <row r="3" spans="1:27">
      <c r="A3" t="s">
        <v>3</v>
      </c>
      <c r="B3" t="s">
        <v>11</v>
      </c>
      <c r="C3" t="s">
        <v>131</v>
      </c>
      <c r="D3" t="s">
        <v>163</v>
      </c>
      <c r="E3" t="s">
        <v>175</v>
      </c>
      <c r="F3" t="s">
        <v>185</v>
      </c>
      <c r="G3" t="s">
        <v>177</v>
      </c>
      <c r="H3" t="s">
        <v>164</v>
      </c>
      <c r="I3" t="s">
        <v>5</v>
      </c>
      <c r="J3" t="s">
        <v>4</v>
      </c>
      <c r="K3" t="s">
        <v>26</v>
      </c>
      <c r="L3" s="4" t="s">
        <v>6</v>
      </c>
      <c r="M3" t="s">
        <v>7</v>
      </c>
      <c r="N3" t="s">
        <v>8</v>
      </c>
      <c r="O3" t="s">
        <v>9</v>
      </c>
      <c r="P3" t="s">
        <v>10</v>
      </c>
      <c r="Q3" t="s">
        <v>171</v>
      </c>
      <c r="R3" t="s">
        <v>172</v>
      </c>
      <c r="S3" t="s">
        <v>173</v>
      </c>
      <c r="T3" t="s">
        <v>216</v>
      </c>
      <c r="U3" s="14" t="s">
        <v>182</v>
      </c>
      <c r="V3" t="s">
        <v>217</v>
      </c>
      <c r="W3" t="s">
        <v>218</v>
      </c>
      <c r="Y3">
        <f>SUM(Y4:Y10)</f>
        <v>38</v>
      </c>
      <c r="Z3">
        <f>Y3-Y5</f>
        <v>21</v>
      </c>
      <c r="AA3">
        <f>Z3/Y3</f>
        <v>0.55263157894736847</v>
      </c>
    </row>
    <row r="4" spans="1:27">
      <c r="A4" s="1" t="s">
        <v>86</v>
      </c>
      <c r="B4" s="1">
        <v>7</v>
      </c>
      <c r="C4" s="1" t="s">
        <v>14</v>
      </c>
      <c r="D4" s="1" t="s">
        <v>14</v>
      </c>
      <c r="E4" s="1" t="s">
        <v>14</v>
      </c>
      <c r="F4" s="1" t="s">
        <v>14</v>
      </c>
      <c r="G4" s="1">
        <f>_xlfn.XLOOKUP(F4,'rank lookup'!$A$1:$A$21,'rank lookup'!$B$1:$B$21,,0)</f>
        <v>1</v>
      </c>
      <c r="H4" s="1"/>
      <c r="I4" s="19">
        <v>192</v>
      </c>
      <c r="J4" s="19">
        <v>180</v>
      </c>
      <c r="K4" s="5">
        <f t="shared" ref="K4:K35" si="0">J4/(I4*I4)*10000</f>
        <v>48.828125</v>
      </c>
      <c r="L4" s="4">
        <f t="shared" ref="L4:L35" si="1">CONVERT(I4,"cm","in")</f>
        <v>75.59055118110237</v>
      </c>
      <c r="M4">
        <f t="shared" ref="M4:M35" si="2">_xlfn.FLOOR.MATH(L4/12)</f>
        <v>6</v>
      </c>
      <c r="N4">
        <f t="shared" ref="N4:N35" si="3">ROUND(L4-M4*12,1)</f>
        <v>3.6</v>
      </c>
      <c r="O4" t="str">
        <f t="shared" ref="O4:O35" si="4">M4&amp;"' "&amp;N4&amp;""""</f>
        <v>6' 3.6"</v>
      </c>
      <c r="P4">
        <f t="shared" ref="P4:P35" si="5">ROUND(CONVERT(J4,"kg","lbm"),0)</f>
        <v>397</v>
      </c>
      <c r="Q4">
        <f>_xlfn.RANK.EQ(I4,I$4:I$45)</f>
        <v>3</v>
      </c>
      <c r="R4">
        <f>_xlfn.RANK.EQ(J4,J$4:J$45)</f>
        <v>5</v>
      </c>
      <c r="S4">
        <f>_xlfn.RANK.EQ(K4,K$4:K$45)</f>
        <v>15</v>
      </c>
      <c r="T4">
        <f>_xlfn.XLOOKUP(A4,'January 2023 Data'!$A$4:$A$49,'January 2023 Data'!$H$4:$H$49,,0)</f>
        <v>192</v>
      </c>
      <c r="U4">
        <f>I4-T4</f>
        <v>0</v>
      </c>
      <c r="V4" s="22" t="s">
        <v>219</v>
      </c>
      <c r="W4" t="str">
        <f>A4&amp;", "&amp;V4</f>
        <v>Terunofuji, 0-0-14</v>
      </c>
      <c r="X4" cm="1">
        <f t="array" ref="X4:X10">_xlfn.SEQUENCE(7,1,-1)</f>
        <v>-1</v>
      </c>
      <c r="Y4">
        <f>COUNTIF(U$4:U$45,X4)</f>
        <v>7</v>
      </c>
    </row>
    <row r="5" spans="1:27">
      <c r="A5" s="1" t="s">
        <v>123</v>
      </c>
      <c r="B5" s="1">
        <v>2</v>
      </c>
      <c r="C5" s="1" t="s">
        <v>39</v>
      </c>
      <c r="D5" s="1" t="s">
        <v>39</v>
      </c>
      <c r="E5" s="1" t="s">
        <v>39</v>
      </c>
      <c r="F5" s="1" t="s">
        <v>39</v>
      </c>
      <c r="G5" s="1">
        <f>_xlfn.XLOOKUP(F5,'rank lookup'!$A$1:$A$21,'rank lookup'!$B$1:$B$21,,0)</f>
        <v>2</v>
      </c>
      <c r="H5" s="1"/>
      <c r="I5" s="19">
        <v>175</v>
      </c>
      <c r="J5" s="19">
        <v>165</v>
      </c>
      <c r="K5" s="5">
        <f t="shared" si="0"/>
        <v>53.877551020408163</v>
      </c>
      <c r="L5" s="4">
        <f t="shared" si="1"/>
        <v>68.897637795275585</v>
      </c>
      <c r="M5">
        <f t="shared" si="2"/>
        <v>5</v>
      </c>
      <c r="N5">
        <f t="shared" si="3"/>
        <v>8.9</v>
      </c>
      <c r="O5" t="str">
        <f t="shared" si="4"/>
        <v>5' 8.9"</v>
      </c>
      <c r="P5">
        <f t="shared" si="5"/>
        <v>364</v>
      </c>
      <c r="Q5">
        <f t="shared" ref="Q5:S45" si="6">_xlfn.RANK.EQ(I5,I$4:I$45)</f>
        <v>38</v>
      </c>
      <c r="R5">
        <f t="shared" si="6"/>
        <v>16</v>
      </c>
      <c r="S5">
        <f t="shared" si="6"/>
        <v>5</v>
      </c>
      <c r="T5">
        <f>_xlfn.XLOOKUP(A5,'January 2023 Data'!$A$4:$A$49,'January 2023 Data'!$H$4:$H$49,,0)</f>
        <v>175</v>
      </c>
      <c r="U5">
        <f t="shared" ref="U5:U53" si="7">I5-T5</f>
        <v>0</v>
      </c>
      <c r="V5" s="23" t="s">
        <v>232</v>
      </c>
      <c r="W5" t="str">
        <f t="shared" ref="W5:W53" si="8">A5&amp;", "&amp;V5</f>
        <v>Takakeisho, 3-4-7</v>
      </c>
      <c r="X5">
        <v>0</v>
      </c>
      <c r="Y5">
        <f t="shared" ref="Y5:Y10" si="9">COUNTIF(U$4:U$45,X5)</f>
        <v>17</v>
      </c>
    </row>
    <row r="6" spans="1:27" ht="25">
      <c r="A6" s="1" t="s">
        <v>114</v>
      </c>
      <c r="B6" s="1"/>
      <c r="C6" s="1" t="s">
        <v>31</v>
      </c>
      <c r="D6" s="1" t="s">
        <v>31</v>
      </c>
      <c r="E6" s="1" t="s">
        <v>31</v>
      </c>
      <c r="F6" s="1" t="s">
        <v>31</v>
      </c>
      <c r="G6" s="1">
        <f>_xlfn.XLOOKUP(F6,'rank lookup'!$A$1:$A$21,'rank lookup'!$B$1:$B$21,,0)</f>
        <v>3</v>
      </c>
      <c r="H6" s="1" t="s">
        <v>196</v>
      </c>
      <c r="I6" s="19">
        <v>182</v>
      </c>
      <c r="J6" s="19">
        <v>132</v>
      </c>
      <c r="K6" s="5">
        <f t="shared" si="0"/>
        <v>39.850259630479414</v>
      </c>
      <c r="L6" s="4">
        <f t="shared" si="1"/>
        <v>71.653543307086608</v>
      </c>
      <c r="M6">
        <f t="shared" si="2"/>
        <v>5</v>
      </c>
      <c r="N6">
        <f t="shared" si="3"/>
        <v>11.7</v>
      </c>
      <c r="O6" t="str">
        <f t="shared" si="4"/>
        <v>5' 11.7"</v>
      </c>
      <c r="P6">
        <f t="shared" si="5"/>
        <v>291</v>
      </c>
      <c r="Q6">
        <f t="shared" si="6"/>
        <v>30</v>
      </c>
      <c r="R6">
        <f t="shared" si="6"/>
        <v>40</v>
      </c>
      <c r="S6">
        <f t="shared" si="6"/>
        <v>42</v>
      </c>
      <c r="T6">
        <f>_xlfn.XLOOKUP(A6,'January 2023 Data'!$A$4:$A$49,'January 2023 Data'!$H$4:$H$49,,0)</f>
        <v>183</v>
      </c>
      <c r="U6">
        <f t="shared" si="7"/>
        <v>-1</v>
      </c>
      <c r="V6" s="21" t="s">
        <v>220</v>
      </c>
      <c r="W6" t="str">
        <f t="shared" si="8"/>
        <v>Wakatakakage, 7-7</v>
      </c>
      <c r="X6">
        <v>1</v>
      </c>
      <c r="Y6">
        <f t="shared" si="9"/>
        <v>11</v>
      </c>
    </row>
    <row r="7" spans="1:27" ht="25">
      <c r="A7" s="1" t="s">
        <v>95</v>
      </c>
      <c r="B7" s="1"/>
      <c r="C7" s="1" t="s">
        <v>31</v>
      </c>
      <c r="D7" s="1" t="s">
        <v>31</v>
      </c>
      <c r="E7" s="1" t="s">
        <v>31</v>
      </c>
      <c r="F7" s="1" t="s">
        <v>31</v>
      </c>
      <c r="G7" s="1">
        <f>_xlfn.XLOOKUP(F7,'rank lookup'!$A$1:$A$21,'rank lookup'!$B$1:$B$21,,0)</f>
        <v>3</v>
      </c>
      <c r="H7" s="1" t="s">
        <v>195</v>
      </c>
      <c r="I7" s="19">
        <v>188</v>
      </c>
      <c r="J7" s="19">
        <v>141</v>
      </c>
      <c r="K7" s="5">
        <f t="shared" si="0"/>
        <v>39.89361702127659</v>
      </c>
      <c r="L7" s="4">
        <f t="shared" si="1"/>
        <v>74.015748031496059</v>
      </c>
      <c r="M7">
        <f t="shared" si="2"/>
        <v>6</v>
      </c>
      <c r="N7">
        <f t="shared" si="3"/>
        <v>2</v>
      </c>
      <c r="O7" t="str">
        <f t="shared" si="4"/>
        <v>6' 2"</v>
      </c>
      <c r="P7">
        <f t="shared" si="5"/>
        <v>311</v>
      </c>
      <c r="Q7">
        <f t="shared" si="6"/>
        <v>12</v>
      </c>
      <c r="R7">
        <f t="shared" si="6"/>
        <v>35</v>
      </c>
      <c r="S7">
        <f t="shared" si="6"/>
        <v>41</v>
      </c>
      <c r="T7">
        <f>_xlfn.XLOOKUP(A7,'January 2023 Data'!$A$4:$A$49,'January 2023 Data'!$H$4:$H$49,,0)</f>
        <v>185</v>
      </c>
      <c r="U7">
        <f t="shared" si="7"/>
        <v>3</v>
      </c>
      <c r="V7" s="22" t="s">
        <v>221</v>
      </c>
      <c r="W7" t="str">
        <f t="shared" si="8"/>
        <v>Hoshoryu, 10-4</v>
      </c>
      <c r="X7">
        <v>2</v>
      </c>
      <c r="Y7">
        <f t="shared" si="9"/>
        <v>2</v>
      </c>
    </row>
    <row r="8" spans="1:27">
      <c r="A8" s="1" t="s">
        <v>102</v>
      </c>
      <c r="B8" s="1"/>
      <c r="C8" s="1" t="s">
        <v>42</v>
      </c>
      <c r="D8" s="1" t="s">
        <v>42</v>
      </c>
      <c r="E8" s="1" t="s">
        <v>42</v>
      </c>
      <c r="F8" s="1" t="s">
        <v>31</v>
      </c>
      <c r="G8" s="1">
        <f>_xlfn.XLOOKUP(F8,'rank lookup'!$A$1:$A$21,'rank lookup'!$B$1:$B$21,,0)</f>
        <v>3</v>
      </c>
      <c r="H8" s="1"/>
      <c r="I8" s="19">
        <v>186</v>
      </c>
      <c r="J8" s="19">
        <v>140</v>
      </c>
      <c r="K8" s="5">
        <f t="shared" si="0"/>
        <v>40.467106023817784</v>
      </c>
      <c r="L8" s="4">
        <f t="shared" si="1"/>
        <v>73.228346456692918</v>
      </c>
      <c r="M8">
        <f t="shared" si="2"/>
        <v>6</v>
      </c>
      <c r="N8">
        <f t="shared" si="3"/>
        <v>1.2</v>
      </c>
      <c r="O8" t="str">
        <f t="shared" si="4"/>
        <v>6' 1.2"</v>
      </c>
      <c r="P8">
        <f t="shared" si="5"/>
        <v>309</v>
      </c>
      <c r="Q8">
        <f t="shared" si="6"/>
        <v>18</v>
      </c>
      <c r="R8">
        <f t="shared" si="6"/>
        <v>36</v>
      </c>
      <c r="S8">
        <f t="shared" si="6"/>
        <v>38</v>
      </c>
      <c r="T8">
        <f>_xlfn.XLOOKUP(A8,'January 2023 Data'!$A$4:$A$49,'January 2023 Data'!$H$4:$H$49,,0)</f>
        <v>185</v>
      </c>
      <c r="U8">
        <f t="shared" si="7"/>
        <v>1</v>
      </c>
      <c r="V8" s="22" t="s">
        <v>222</v>
      </c>
      <c r="W8" t="str">
        <f t="shared" si="8"/>
        <v>Kiribayama, 11-3</v>
      </c>
      <c r="X8">
        <v>3</v>
      </c>
      <c r="Y8">
        <f t="shared" si="9"/>
        <v>1</v>
      </c>
    </row>
    <row r="9" spans="1:27">
      <c r="A9" s="1" t="s">
        <v>94</v>
      </c>
      <c r="B9" s="1"/>
      <c r="C9" s="1" t="s">
        <v>136</v>
      </c>
      <c r="D9" s="1" t="s">
        <v>132</v>
      </c>
      <c r="E9" s="1" t="s">
        <v>42</v>
      </c>
      <c r="F9" s="1" t="s">
        <v>42</v>
      </c>
      <c r="G9" s="1">
        <f>_xlfn.XLOOKUP(F9,'rank lookup'!$A$1:$A$21,'rank lookup'!$B$1:$B$21,,0)</f>
        <v>4</v>
      </c>
      <c r="H9" s="1"/>
      <c r="I9" s="19">
        <v>189</v>
      </c>
      <c r="J9" s="19">
        <v>172</v>
      </c>
      <c r="K9" s="5">
        <f t="shared" si="0"/>
        <v>48.150947621847095</v>
      </c>
      <c r="L9" s="4">
        <f t="shared" si="1"/>
        <v>74.409448818897644</v>
      </c>
      <c r="M9">
        <f t="shared" si="2"/>
        <v>6</v>
      </c>
      <c r="N9">
        <f t="shared" si="3"/>
        <v>2.4</v>
      </c>
      <c r="O9" t="str">
        <f t="shared" si="4"/>
        <v>6' 2.4"</v>
      </c>
      <c r="P9">
        <f t="shared" si="5"/>
        <v>379</v>
      </c>
      <c r="Q9">
        <f t="shared" si="6"/>
        <v>9</v>
      </c>
      <c r="R9">
        <f t="shared" si="6"/>
        <v>12</v>
      </c>
      <c r="S9">
        <f t="shared" si="6"/>
        <v>17</v>
      </c>
      <c r="T9">
        <f>_xlfn.XLOOKUP(A9,'January 2023 Data'!$A$4:$A$49,'January 2023 Data'!$H$4:$H$49,,0)</f>
        <v>189</v>
      </c>
      <c r="U9">
        <f t="shared" si="7"/>
        <v>0</v>
      </c>
      <c r="V9" s="22" t="s">
        <v>223</v>
      </c>
      <c r="W9" t="str">
        <f t="shared" si="8"/>
        <v>Kotonowaka, 9-5</v>
      </c>
      <c r="X9">
        <v>4</v>
      </c>
      <c r="Y9">
        <f t="shared" si="9"/>
        <v>0</v>
      </c>
    </row>
    <row r="10" spans="1:27" ht="25">
      <c r="A10" s="1" t="s">
        <v>100</v>
      </c>
      <c r="B10" s="1"/>
      <c r="C10" s="1" t="s">
        <v>141</v>
      </c>
      <c r="D10" s="1" t="s">
        <v>139</v>
      </c>
      <c r="E10" s="1" t="s">
        <v>42</v>
      </c>
      <c r="F10" s="1" t="s">
        <v>42</v>
      </c>
      <c r="G10" s="1">
        <f>_xlfn.XLOOKUP(F10,'rank lookup'!$A$1:$A$21,'rank lookup'!$B$1:$B$21,,0)</f>
        <v>4</v>
      </c>
      <c r="H10" s="1" t="s">
        <v>198</v>
      </c>
      <c r="I10" s="19">
        <v>187</v>
      </c>
      <c r="J10" s="19">
        <v>143</v>
      </c>
      <c r="K10" s="5">
        <f t="shared" si="0"/>
        <v>40.893362692670649</v>
      </c>
      <c r="L10" s="4">
        <f t="shared" si="1"/>
        <v>73.622047244094489</v>
      </c>
      <c r="M10">
        <f t="shared" si="2"/>
        <v>6</v>
      </c>
      <c r="N10">
        <f t="shared" si="3"/>
        <v>1.6</v>
      </c>
      <c r="O10" t="str">
        <f t="shared" si="4"/>
        <v>6' 1.6"</v>
      </c>
      <c r="P10">
        <f t="shared" si="5"/>
        <v>315</v>
      </c>
      <c r="Q10">
        <f t="shared" si="6"/>
        <v>16</v>
      </c>
      <c r="R10">
        <f t="shared" si="6"/>
        <v>33</v>
      </c>
      <c r="S10">
        <f t="shared" si="6"/>
        <v>37</v>
      </c>
      <c r="T10">
        <f>_xlfn.XLOOKUP(A10,'January 2023 Data'!$A$4:$A$49,'January 2023 Data'!$H$4:$H$49,,0)</f>
        <v>186</v>
      </c>
      <c r="U10">
        <f t="shared" si="7"/>
        <v>1</v>
      </c>
      <c r="V10" s="22" t="s">
        <v>221</v>
      </c>
      <c r="W10" t="str">
        <f t="shared" si="8"/>
        <v>Wakamotoharu, 10-4</v>
      </c>
      <c r="X10">
        <v>5</v>
      </c>
      <c r="Y10">
        <f t="shared" si="9"/>
        <v>0</v>
      </c>
    </row>
    <row r="11" spans="1:27">
      <c r="A11" s="1" t="s">
        <v>112</v>
      </c>
      <c r="B11" s="1">
        <v>1</v>
      </c>
      <c r="C11" s="1" t="s">
        <v>31</v>
      </c>
      <c r="D11" s="1" t="s">
        <v>42</v>
      </c>
      <c r="E11" s="1" t="s">
        <v>132</v>
      </c>
      <c r="F11" s="1" t="s">
        <v>42</v>
      </c>
      <c r="G11" s="1">
        <f>_xlfn.XLOOKUP(F11,'rank lookup'!$A$1:$A$21,'rank lookup'!$B$1:$B$21,,0)</f>
        <v>4</v>
      </c>
      <c r="H11" s="1"/>
      <c r="I11" s="19">
        <v>182</v>
      </c>
      <c r="J11" s="19">
        <v>165</v>
      </c>
      <c r="K11" s="5">
        <f t="shared" si="0"/>
        <v>49.812824538099264</v>
      </c>
      <c r="L11" s="4">
        <f t="shared" si="1"/>
        <v>71.653543307086608</v>
      </c>
      <c r="M11">
        <f t="shared" si="2"/>
        <v>5</v>
      </c>
      <c r="N11">
        <f t="shared" si="3"/>
        <v>11.7</v>
      </c>
      <c r="O11" t="str">
        <f t="shared" si="4"/>
        <v>5' 11.7"</v>
      </c>
      <c r="P11">
        <f t="shared" si="5"/>
        <v>364</v>
      </c>
      <c r="Q11">
        <f t="shared" si="6"/>
        <v>30</v>
      </c>
      <c r="R11">
        <f t="shared" si="6"/>
        <v>16</v>
      </c>
      <c r="S11">
        <f t="shared" si="6"/>
        <v>11</v>
      </c>
      <c r="T11">
        <f>_xlfn.XLOOKUP(A11,'January 2023 Data'!$A$4:$A$49,'January 2023 Data'!$H$4:$H$49,,0)</f>
        <v>182</v>
      </c>
      <c r="U11">
        <f t="shared" si="7"/>
        <v>0</v>
      </c>
      <c r="V11" s="22" t="s">
        <v>231</v>
      </c>
      <c r="W11" t="str">
        <f t="shared" si="8"/>
        <v>Daieisho, 12-2</v>
      </c>
    </row>
    <row r="12" spans="1:27">
      <c r="A12" s="1" t="s">
        <v>124</v>
      </c>
      <c r="B12" s="1"/>
      <c r="C12" s="1" t="s">
        <v>132</v>
      </c>
      <c r="D12" s="1" t="s">
        <v>42</v>
      </c>
      <c r="E12" s="1" t="s">
        <v>132</v>
      </c>
      <c r="F12" s="1" t="s">
        <v>42</v>
      </c>
      <c r="G12" s="1">
        <f>_xlfn.XLOOKUP(F12,'rank lookup'!$A$1:$A$21,'rank lookup'!$B$1:$B$21,,0)</f>
        <v>4</v>
      </c>
      <c r="H12" s="1"/>
      <c r="I12" s="19">
        <v>174</v>
      </c>
      <c r="J12" s="19">
        <v>133</v>
      </c>
      <c r="K12" s="5">
        <f t="shared" si="0"/>
        <v>43.929184832870916</v>
      </c>
      <c r="L12" s="4">
        <f t="shared" si="1"/>
        <v>68.503937007874015</v>
      </c>
      <c r="M12">
        <f t="shared" si="2"/>
        <v>5</v>
      </c>
      <c r="N12">
        <f t="shared" si="3"/>
        <v>8.5</v>
      </c>
      <c r="O12" t="str">
        <f t="shared" si="4"/>
        <v>5' 8.5"</v>
      </c>
      <c r="P12">
        <f t="shared" si="5"/>
        <v>293</v>
      </c>
      <c r="Q12">
        <f t="shared" si="6"/>
        <v>40</v>
      </c>
      <c r="R12">
        <f t="shared" si="6"/>
        <v>39</v>
      </c>
      <c r="S12">
        <f t="shared" si="6"/>
        <v>28</v>
      </c>
      <c r="T12">
        <f>_xlfn.XLOOKUP(A12,'January 2023 Data'!$A$4:$A$49,'January 2023 Data'!$H$4:$H$49,,0)</f>
        <v>174</v>
      </c>
      <c r="U12">
        <f t="shared" si="7"/>
        <v>0</v>
      </c>
      <c r="V12" s="22" t="s">
        <v>226</v>
      </c>
      <c r="W12" t="str">
        <f t="shared" si="8"/>
        <v>Tobizaru, 5-9</v>
      </c>
    </row>
    <row r="13" spans="1:27" ht="25">
      <c r="A13" s="1" t="s">
        <v>109</v>
      </c>
      <c r="B13" s="1">
        <v>1</v>
      </c>
      <c r="C13" s="1" t="s">
        <v>39</v>
      </c>
      <c r="D13" s="1" t="s">
        <v>39</v>
      </c>
      <c r="E13" s="1" t="s">
        <v>31</v>
      </c>
      <c r="F13" s="1" t="s">
        <v>132</v>
      </c>
      <c r="G13" s="1">
        <f>_xlfn.XLOOKUP(F13,'rank lookup'!$A$1:$A$21,'rank lookup'!$B$1:$B$21,,0)</f>
        <v>5</v>
      </c>
      <c r="H13" s="1" t="s">
        <v>199</v>
      </c>
      <c r="I13" s="19">
        <v>184</v>
      </c>
      <c r="J13" s="19">
        <v>160</v>
      </c>
      <c r="K13" s="5">
        <f t="shared" si="0"/>
        <v>47.258979206049148</v>
      </c>
      <c r="L13" s="4">
        <f t="shared" si="1"/>
        <v>72.440944881889763</v>
      </c>
      <c r="M13">
        <f t="shared" si="2"/>
        <v>6</v>
      </c>
      <c r="N13">
        <f t="shared" si="3"/>
        <v>0.4</v>
      </c>
      <c r="O13" t="str">
        <f t="shared" si="4"/>
        <v>6' 0.4"</v>
      </c>
      <c r="P13">
        <f t="shared" si="5"/>
        <v>353</v>
      </c>
      <c r="Q13">
        <f t="shared" si="6"/>
        <v>24</v>
      </c>
      <c r="R13">
        <f t="shared" si="6"/>
        <v>21</v>
      </c>
      <c r="S13">
        <f t="shared" si="6"/>
        <v>20</v>
      </c>
      <c r="T13">
        <f>_xlfn.XLOOKUP(A13,'January 2023 Data'!$A$4:$A$49,'January 2023 Data'!$H$4:$H$49,,0)</f>
        <v>183</v>
      </c>
      <c r="U13">
        <f t="shared" si="7"/>
        <v>1</v>
      </c>
      <c r="V13" s="22" t="s">
        <v>223</v>
      </c>
      <c r="W13" t="str">
        <f t="shared" si="8"/>
        <v>Shodai, 9-5</v>
      </c>
    </row>
    <row r="14" spans="1:27">
      <c r="A14" s="1" t="s">
        <v>92</v>
      </c>
      <c r="B14" s="1">
        <v>2</v>
      </c>
      <c r="C14" s="1" t="s">
        <v>137</v>
      </c>
      <c r="D14" s="1" t="s">
        <v>42</v>
      </c>
      <c r="E14" s="1" t="s">
        <v>136</v>
      </c>
      <c r="F14" s="1" t="s">
        <v>132</v>
      </c>
      <c r="G14" s="1">
        <f>_xlfn.XLOOKUP(F14,'rank lookup'!$A$1:$A$21,'rank lookup'!$B$1:$B$21,,0)</f>
        <v>5</v>
      </c>
      <c r="H14" s="1"/>
      <c r="I14" s="19">
        <v>189</v>
      </c>
      <c r="J14" s="19">
        <v>174</v>
      </c>
      <c r="K14" s="5">
        <f t="shared" si="0"/>
        <v>48.710842361636011</v>
      </c>
      <c r="L14" s="4">
        <f t="shared" si="1"/>
        <v>74.409448818897644</v>
      </c>
      <c r="M14">
        <f t="shared" si="2"/>
        <v>6</v>
      </c>
      <c r="N14">
        <f t="shared" si="3"/>
        <v>2.4</v>
      </c>
      <c r="O14" t="str">
        <f t="shared" si="4"/>
        <v>6' 2.4"</v>
      </c>
      <c r="P14">
        <f t="shared" si="5"/>
        <v>384</v>
      </c>
      <c r="Q14">
        <f t="shared" si="6"/>
        <v>9</v>
      </c>
      <c r="R14">
        <f t="shared" si="6"/>
        <v>10</v>
      </c>
      <c r="S14">
        <f t="shared" si="6"/>
        <v>16</v>
      </c>
      <c r="T14">
        <f>_xlfn.XLOOKUP(A14,'January 2023 Data'!$A$4:$A$49,'January 2023 Data'!$H$4:$H$49,,0)</f>
        <v>189</v>
      </c>
      <c r="U14">
        <f t="shared" si="7"/>
        <v>0</v>
      </c>
      <c r="V14" s="22" t="s">
        <v>227</v>
      </c>
      <c r="W14" t="str">
        <f t="shared" si="8"/>
        <v>Tamawashi, 3-11</v>
      </c>
    </row>
    <row r="15" spans="1:27" ht="25">
      <c r="A15" s="1" t="s">
        <v>93</v>
      </c>
      <c r="B15" s="1">
        <v>1</v>
      </c>
      <c r="C15" s="1" t="s">
        <v>42</v>
      </c>
      <c r="D15" s="1" t="s">
        <v>143</v>
      </c>
      <c r="E15" s="1" t="s">
        <v>137</v>
      </c>
      <c r="F15" s="1" t="s">
        <v>136</v>
      </c>
      <c r="G15" s="1">
        <f>_xlfn.XLOOKUP(F15,'rank lookup'!$A$1:$A$21,'rank lookup'!$B$1:$B$21,,0)</f>
        <v>6</v>
      </c>
      <c r="H15" s="1" t="s">
        <v>200</v>
      </c>
      <c r="I15" s="19">
        <v>186</v>
      </c>
      <c r="J15" s="19">
        <v>156</v>
      </c>
      <c r="K15" s="5">
        <f t="shared" si="0"/>
        <v>45.091918140825534</v>
      </c>
      <c r="L15" s="4">
        <f t="shared" si="1"/>
        <v>73.228346456692918</v>
      </c>
      <c r="M15">
        <f t="shared" si="2"/>
        <v>6</v>
      </c>
      <c r="N15">
        <f t="shared" si="3"/>
        <v>1.2</v>
      </c>
      <c r="O15" t="str">
        <f t="shared" si="4"/>
        <v>6' 1.2"</v>
      </c>
      <c r="P15">
        <f t="shared" si="5"/>
        <v>344</v>
      </c>
      <c r="Q15">
        <f t="shared" si="6"/>
        <v>18</v>
      </c>
      <c r="R15">
        <f t="shared" si="6"/>
        <v>24</v>
      </c>
      <c r="S15">
        <f t="shared" si="6"/>
        <v>23</v>
      </c>
      <c r="T15">
        <f>_xlfn.XLOOKUP(A15,'January 2023 Data'!$A$4:$A$49,'January 2023 Data'!$H$4:$H$49,,0)</f>
        <v>187</v>
      </c>
      <c r="U15">
        <f t="shared" si="7"/>
        <v>-1</v>
      </c>
      <c r="V15" s="22" t="s">
        <v>224</v>
      </c>
      <c r="W15" t="str">
        <f t="shared" si="8"/>
        <v>Abi, 8-6</v>
      </c>
    </row>
    <row r="16" spans="1:27" ht="25">
      <c r="A16" t="s">
        <v>149</v>
      </c>
      <c r="C16" s="1" t="s">
        <v>148</v>
      </c>
      <c r="D16" s="1" t="s">
        <v>141</v>
      </c>
      <c r="E16" s="1" t="s">
        <v>140</v>
      </c>
      <c r="F16" s="1" t="s">
        <v>136</v>
      </c>
      <c r="G16" s="1">
        <f>_xlfn.XLOOKUP(F16,'rank lookup'!$A$1:$A$21,'rank lookup'!$B$1:$B$21,,0)</f>
        <v>6</v>
      </c>
      <c r="H16" s="1" t="s">
        <v>201</v>
      </c>
      <c r="I16" s="20">
        <v>188</v>
      </c>
      <c r="J16" s="19">
        <v>154</v>
      </c>
      <c r="K16" s="5">
        <f t="shared" si="0"/>
        <v>43.571751923947488</v>
      </c>
      <c r="L16" s="4">
        <f t="shared" si="1"/>
        <v>74.015748031496059</v>
      </c>
      <c r="M16">
        <f t="shared" si="2"/>
        <v>6</v>
      </c>
      <c r="N16">
        <f t="shared" si="3"/>
        <v>2</v>
      </c>
      <c r="O16" t="str">
        <f t="shared" si="4"/>
        <v>6' 2"</v>
      </c>
      <c r="P16">
        <f t="shared" si="5"/>
        <v>340</v>
      </c>
      <c r="Q16">
        <f t="shared" si="6"/>
        <v>12</v>
      </c>
      <c r="R16">
        <f t="shared" si="6"/>
        <v>27</v>
      </c>
      <c r="S16">
        <f t="shared" si="6"/>
        <v>29</v>
      </c>
      <c r="T16">
        <f>_xlfn.XLOOKUP(A16,'January 2023 Data'!$A$4:$A$49,'January 2023 Data'!$H$4:$H$49,,0)</f>
        <v>187</v>
      </c>
      <c r="U16">
        <f t="shared" si="7"/>
        <v>1</v>
      </c>
      <c r="V16" s="22" t="s">
        <v>230</v>
      </c>
      <c r="W16" t="str">
        <f t="shared" si="8"/>
        <v>Ryuden, 1-13</v>
      </c>
    </row>
    <row r="17" spans="1:23">
      <c r="A17" s="1" t="s">
        <v>116</v>
      </c>
      <c r="B17" s="1">
        <v>2</v>
      </c>
      <c r="C17" s="1" t="s">
        <v>39</v>
      </c>
      <c r="D17" s="1" t="s">
        <v>31</v>
      </c>
      <c r="E17" s="1" t="s">
        <v>136</v>
      </c>
      <c r="F17" s="1" t="s">
        <v>137</v>
      </c>
      <c r="G17" s="1">
        <f>_xlfn.XLOOKUP(F17,'rank lookup'!$A$1:$A$21,'rank lookup'!$B$1:$B$21,,0)</f>
        <v>7</v>
      </c>
      <c r="H17" s="1"/>
      <c r="I17" s="19">
        <v>179</v>
      </c>
      <c r="J17" s="19">
        <v>170</v>
      </c>
      <c r="K17" s="5">
        <f t="shared" si="0"/>
        <v>53.057020692238069</v>
      </c>
      <c r="L17" s="4">
        <f t="shared" si="1"/>
        <v>70.472440944881896</v>
      </c>
      <c r="M17">
        <f t="shared" si="2"/>
        <v>5</v>
      </c>
      <c r="N17">
        <f t="shared" si="3"/>
        <v>10.5</v>
      </c>
      <c r="O17" t="str">
        <f t="shared" si="4"/>
        <v>5' 10.5"</v>
      </c>
      <c r="P17">
        <f t="shared" si="5"/>
        <v>375</v>
      </c>
      <c r="Q17">
        <f t="shared" si="6"/>
        <v>34</v>
      </c>
      <c r="R17">
        <f t="shared" si="6"/>
        <v>15</v>
      </c>
      <c r="S17">
        <f t="shared" si="6"/>
        <v>6</v>
      </c>
      <c r="T17">
        <f>_xlfn.XLOOKUP(A17,'January 2023 Data'!$A$4:$A$49,'January 2023 Data'!$H$4:$H$49,,0)</f>
        <v>179</v>
      </c>
      <c r="U17">
        <f t="shared" si="7"/>
        <v>0</v>
      </c>
      <c r="V17" s="22" t="s">
        <v>225</v>
      </c>
      <c r="W17" t="str">
        <f t="shared" si="8"/>
        <v>Mitakeumi, 4-10</v>
      </c>
    </row>
    <row r="18" spans="1:23" ht="25">
      <c r="A18" s="1" t="s">
        <v>138</v>
      </c>
      <c r="C18" s="1" t="s">
        <v>139</v>
      </c>
      <c r="D18" s="1" t="s">
        <v>141</v>
      </c>
      <c r="E18" s="1" t="s">
        <v>140</v>
      </c>
      <c r="F18" s="1" t="s">
        <v>137</v>
      </c>
      <c r="G18" s="1">
        <f>_xlfn.XLOOKUP(F18,'rank lookup'!$A$1:$A$21,'rank lookup'!$B$1:$B$21,,0)</f>
        <v>7</v>
      </c>
      <c r="H18" s="1" t="s">
        <v>202</v>
      </c>
      <c r="I18" s="19">
        <v>185</v>
      </c>
      <c r="J18" s="19">
        <v>176</v>
      </c>
      <c r="K18" s="5">
        <f t="shared" si="0"/>
        <v>51.424397370343314</v>
      </c>
      <c r="L18" s="4">
        <f t="shared" si="1"/>
        <v>72.834645669291348</v>
      </c>
      <c r="M18">
        <f t="shared" si="2"/>
        <v>6</v>
      </c>
      <c r="N18">
        <f t="shared" si="3"/>
        <v>0.8</v>
      </c>
      <c r="O18" t="str">
        <f t="shared" si="4"/>
        <v>6' 0.8"</v>
      </c>
      <c r="P18">
        <f t="shared" si="5"/>
        <v>388</v>
      </c>
      <c r="Q18">
        <f t="shared" si="6"/>
        <v>21</v>
      </c>
      <c r="R18">
        <f t="shared" si="6"/>
        <v>9</v>
      </c>
      <c r="S18">
        <f t="shared" si="6"/>
        <v>9</v>
      </c>
      <c r="T18">
        <f>_xlfn.XLOOKUP(A18,'January 2023 Data'!$A$4:$A$49,'January 2023 Data'!$H$4:$H$49,,0)</f>
        <v>184</v>
      </c>
      <c r="U18">
        <f t="shared" si="7"/>
        <v>1</v>
      </c>
      <c r="V18" s="22" t="s">
        <v>226</v>
      </c>
      <c r="W18" t="str">
        <f t="shared" si="8"/>
        <v>Nishikigi, 5-9</v>
      </c>
    </row>
    <row r="19" spans="1:23">
      <c r="A19" s="1" t="s">
        <v>117</v>
      </c>
      <c r="B19" s="1"/>
      <c r="C19" s="1" t="s">
        <v>136</v>
      </c>
      <c r="D19" s="1" t="s">
        <v>136</v>
      </c>
      <c r="E19" s="1" t="s">
        <v>42</v>
      </c>
      <c r="F19" s="1" t="s">
        <v>139</v>
      </c>
      <c r="G19" s="1">
        <f>_xlfn.XLOOKUP(F19,'rank lookup'!$A$1:$A$21,'rank lookup'!$B$1:$B$21,,0)</f>
        <v>8</v>
      </c>
      <c r="H19" s="1"/>
      <c r="I19" s="19">
        <v>180</v>
      </c>
      <c r="J19" s="19">
        <v>154</v>
      </c>
      <c r="K19" s="5">
        <f t="shared" si="0"/>
        <v>47.530864197530867</v>
      </c>
      <c r="L19" s="4">
        <f t="shared" si="1"/>
        <v>70.866141732283467</v>
      </c>
      <c r="M19">
        <f t="shared" si="2"/>
        <v>5</v>
      </c>
      <c r="N19">
        <f t="shared" si="3"/>
        <v>10.9</v>
      </c>
      <c r="O19" t="str">
        <f t="shared" si="4"/>
        <v>5' 10.9"</v>
      </c>
      <c r="P19">
        <f t="shared" si="5"/>
        <v>340</v>
      </c>
      <c r="Q19">
        <f t="shared" si="6"/>
        <v>33</v>
      </c>
      <c r="R19">
        <f t="shared" si="6"/>
        <v>27</v>
      </c>
      <c r="S19">
        <f t="shared" si="6"/>
        <v>19</v>
      </c>
      <c r="T19">
        <f>_xlfn.XLOOKUP(A19,'January 2023 Data'!$A$4:$A$49,'January 2023 Data'!$H$4:$H$49,,0)</f>
        <v>180</v>
      </c>
      <c r="U19">
        <f t="shared" si="7"/>
        <v>0</v>
      </c>
      <c r="V19" s="22" t="s">
        <v>225</v>
      </c>
      <c r="W19" t="str">
        <f t="shared" si="8"/>
        <v>Meisei, 4-10</v>
      </c>
    </row>
    <row r="20" spans="1:23" ht="25">
      <c r="A20" s="1" t="s">
        <v>120</v>
      </c>
      <c r="B20" s="1"/>
      <c r="C20" s="1" t="s">
        <v>135</v>
      </c>
      <c r="D20" s="1" t="s">
        <v>147</v>
      </c>
      <c r="E20" s="1" t="s">
        <v>142</v>
      </c>
      <c r="F20" s="1" t="s">
        <v>139</v>
      </c>
      <c r="G20" s="1">
        <f>_xlfn.XLOOKUP(F20,'rank lookup'!$A$1:$A$21,'rank lookup'!$B$1:$B$21,,0)</f>
        <v>8</v>
      </c>
      <c r="H20" s="1" t="s">
        <v>203</v>
      </c>
      <c r="I20" s="19">
        <v>177</v>
      </c>
      <c r="J20" s="19">
        <v>164</v>
      </c>
      <c r="K20" s="5">
        <f t="shared" si="0"/>
        <v>52.347665102620574</v>
      </c>
      <c r="L20" s="4">
        <f t="shared" si="1"/>
        <v>69.685039370078741</v>
      </c>
      <c r="M20">
        <f t="shared" si="2"/>
        <v>5</v>
      </c>
      <c r="N20">
        <f t="shared" si="3"/>
        <v>9.6999999999999993</v>
      </c>
      <c r="O20" t="str">
        <f t="shared" si="4"/>
        <v>5' 9.7"</v>
      </c>
      <c r="P20">
        <f t="shared" si="5"/>
        <v>362</v>
      </c>
      <c r="Q20">
        <f t="shared" si="6"/>
        <v>35</v>
      </c>
      <c r="R20">
        <f t="shared" si="6"/>
        <v>19</v>
      </c>
      <c r="S20">
        <f t="shared" si="6"/>
        <v>7</v>
      </c>
      <c r="T20">
        <f>_xlfn.XLOOKUP(A20,'January 2023 Data'!$A$4:$A$49,'January 2023 Data'!$H$4:$H$49,,0)</f>
        <v>178</v>
      </c>
      <c r="U20">
        <f t="shared" si="7"/>
        <v>-1</v>
      </c>
      <c r="V20" s="23" t="s">
        <v>229</v>
      </c>
      <c r="W20" t="str">
        <f t="shared" si="8"/>
        <v>Onosho, 4-5-5</v>
      </c>
    </row>
    <row r="21" spans="1:23">
      <c r="A21" s="1" t="s">
        <v>133</v>
      </c>
      <c r="C21" t="s">
        <v>132</v>
      </c>
      <c r="D21" s="1" t="s">
        <v>137</v>
      </c>
      <c r="E21" s="1" t="s">
        <v>137</v>
      </c>
      <c r="F21" s="1" t="s">
        <v>140</v>
      </c>
      <c r="G21" s="1">
        <f>_xlfn.XLOOKUP(F21,'rank lookup'!$A$1:$A$21,'rank lookup'!$B$1:$B$21,,0)</f>
        <v>9</v>
      </c>
      <c r="H21" s="1"/>
      <c r="I21" s="19">
        <v>171</v>
      </c>
      <c r="J21" s="19">
        <v>117</v>
      </c>
      <c r="K21" s="5">
        <f t="shared" si="0"/>
        <v>40.012311480455523</v>
      </c>
      <c r="L21" s="4">
        <f t="shared" si="1"/>
        <v>67.322834645669289</v>
      </c>
      <c r="M21">
        <f t="shared" si="2"/>
        <v>5</v>
      </c>
      <c r="N21">
        <f t="shared" si="3"/>
        <v>7.3</v>
      </c>
      <c r="O21" t="str">
        <f t="shared" si="4"/>
        <v>5' 7.3"</v>
      </c>
      <c r="P21">
        <f t="shared" si="5"/>
        <v>258</v>
      </c>
      <c r="Q21">
        <f t="shared" si="6"/>
        <v>41</v>
      </c>
      <c r="R21">
        <f t="shared" si="6"/>
        <v>42</v>
      </c>
      <c r="S21">
        <f t="shared" si="6"/>
        <v>40</v>
      </c>
      <c r="T21">
        <f>_xlfn.XLOOKUP(A21,'January 2023 Data'!$A$4:$A$49,'January 2023 Data'!$H$4:$H$49,,0)</f>
        <v>171</v>
      </c>
      <c r="U21">
        <f t="shared" si="7"/>
        <v>0</v>
      </c>
      <c r="V21" s="22" t="s">
        <v>221</v>
      </c>
      <c r="W21" t="str">
        <f t="shared" si="8"/>
        <v>Midorifuji, 10-4</v>
      </c>
    </row>
    <row r="22" spans="1:23" ht="25">
      <c r="A22" t="s">
        <v>146</v>
      </c>
      <c r="C22" s="1" t="s">
        <v>147</v>
      </c>
      <c r="D22" s="1" t="s">
        <v>147</v>
      </c>
      <c r="E22" s="1" t="s">
        <v>150</v>
      </c>
      <c r="F22" s="1" t="s">
        <v>140</v>
      </c>
      <c r="G22" s="1">
        <f>_xlfn.XLOOKUP(F22,'rank lookup'!$A$1:$A$21,'rank lookup'!$B$1:$B$21,,0)</f>
        <v>9</v>
      </c>
      <c r="H22" s="1" t="s">
        <v>204</v>
      </c>
      <c r="I22" s="19">
        <v>191</v>
      </c>
      <c r="J22" s="19">
        <v>163</v>
      </c>
      <c r="K22" s="5">
        <f t="shared" si="0"/>
        <v>44.680792741427041</v>
      </c>
      <c r="L22" s="4">
        <f t="shared" si="1"/>
        <v>75.196850393700785</v>
      </c>
      <c r="M22">
        <f t="shared" si="2"/>
        <v>6</v>
      </c>
      <c r="N22">
        <f t="shared" si="3"/>
        <v>3.2</v>
      </c>
      <c r="O22" t="str">
        <f t="shared" si="4"/>
        <v>6' 3.2"</v>
      </c>
      <c r="P22">
        <f t="shared" si="5"/>
        <v>359</v>
      </c>
      <c r="Q22">
        <f t="shared" si="6"/>
        <v>6</v>
      </c>
      <c r="R22">
        <f t="shared" si="6"/>
        <v>20</v>
      </c>
      <c r="S22">
        <f t="shared" si="6"/>
        <v>24</v>
      </c>
      <c r="T22">
        <f>_xlfn.XLOOKUP(A22,'January 2023 Data'!$A$4:$A$49,'January 2023 Data'!$H$4:$H$49,,0)</f>
        <v>189</v>
      </c>
      <c r="U22">
        <f t="shared" si="7"/>
        <v>2</v>
      </c>
      <c r="V22" s="22" t="s">
        <v>228</v>
      </c>
      <c r="W22" t="str">
        <f t="shared" si="8"/>
        <v>Kotoshoho, 6-8</v>
      </c>
    </row>
    <row r="23" spans="1:23">
      <c r="A23" s="1" t="s">
        <v>111</v>
      </c>
      <c r="B23" s="1"/>
      <c r="C23" s="1" t="s">
        <v>140</v>
      </c>
      <c r="D23" s="1" t="s">
        <v>139</v>
      </c>
      <c r="E23" s="1" t="s">
        <v>139</v>
      </c>
      <c r="F23" s="1" t="s">
        <v>141</v>
      </c>
      <c r="G23" s="1">
        <f>_xlfn.XLOOKUP(F23,'rank lookup'!$A$1:$A$21,'rank lookup'!$B$1:$B$21,,0)</f>
        <v>10</v>
      </c>
      <c r="H23" s="1"/>
      <c r="I23" s="19">
        <v>182</v>
      </c>
      <c r="J23" s="19">
        <v>142</v>
      </c>
      <c r="K23" s="5">
        <f t="shared" si="0"/>
        <v>42.869218693394522</v>
      </c>
      <c r="L23" s="4">
        <f t="shared" si="1"/>
        <v>71.653543307086608</v>
      </c>
      <c r="M23">
        <f t="shared" si="2"/>
        <v>5</v>
      </c>
      <c r="N23">
        <f t="shared" si="3"/>
        <v>11.7</v>
      </c>
      <c r="O23" t="str">
        <f t="shared" si="4"/>
        <v>5' 11.7"</v>
      </c>
      <c r="P23">
        <f t="shared" si="5"/>
        <v>313</v>
      </c>
      <c r="Q23">
        <f t="shared" si="6"/>
        <v>30</v>
      </c>
      <c r="R23">
        <f t="shared" si="6"/>
        <v>34</v>
      </c>
      <c r="S23">
        <f t="shared" si="6"/>
        <v>32</v>
      </c>
      <c r="T23">
        <f>_xlfn.XLOOKUP(A23,'January 2023 Data'!$A$4:$A$49,'January 2023 Data'!$H$4:$H$49,,0)</f>
        <v>182</v>
      </c>
      <c r="U23">
        <f t="shared" si="7"/>
        <v>0</v>
      </c>
      <c r="V23" s="22" t="s">
        <v>228</v>
      </c>
      <c r="W23" t="str">
        <f t="shared" si="8"/>
        <v>Sadanoumi, 6-8</v>
      </c>
    </row>
    <row r="24" spans="1:23" ht="25">
      <c r="A24" s="1" t="s">
        <v>99</v>
      </c>
      <c r="B24" s="1"/>
      <c r="C24" s="1" t="s">
        <v>141</v>
      </c>
      <c r="D24" s="1" t="s">
        <v>135</v>
      </c>
      <c r="E24" s="1" t="s">
        <v>143</v>
      </c>
      <c r="F24" s="1" t="s">
        <v>141</v>
      </c>
      <c r="G24" s="1">
        <f>_xlfn.XLOOKUP(F24,'rank lookup'!$A$1:$A$21,'rank lookup'!$B$1:$B$21,,0)</f>
        <v>10</v>
      </c>
      <c r="H24" s="1" t="s">
        <v>205</v>
      </c>
      <c r="I24" s="19">
        <v>184</v>
      </c>
      <c r="J24" s="19">
        <v>150</v>
      </c>
      <c r="K24" s="5">
        <f t="shared" si="0"/>
        <v>44.305293005671075</v>
      </c>
      <c r="L24" s="4">
        <f t="shared" si="1"/>
        <v>72.440944881889763</v>
      </c>
      <c r="M24">
        <f t="shared" si="2"/>
        <v>6</v>
      </c>
      <c r="N24">
        <f t="shared" si="3"/>
        <v>0.4</v>
      </c>
      <c r="O24" t="str">
        <f t="shared" si="4"/>
        <v>6' 0.4"</v>
      </c>
      <c r="P24">
        <f t="shared" si="5"/>
        <v>331</v>
      </c>
      <c r="Q24">
        <f t="shared" si="6"/>
        <v>24</v>
      </c>
      <c r="R24">
        <f t="shared" si="6"/>
        <v>29</v>
      </c>
      <c r="S24">
        <f t="shared" si="6"/>
        <v>25</v>
      </c>
      <c r="T24">
        <f>_xlfn.XLOOKUP(A24,'January 2023 Data'!$A$4:$A$49,'January 2023 Data'!$H$4:$H$49,,0)</f>
        <v>183</v>
      </c>
      <c r="U24">
        <f t="shared" si="7"/>
        <v>1</v>
      </c>
      <c r="V24" s="22" t="s">
        <v>223</v>
      </c>
      <c r="W24" t="str">
        <f t="shared" si="8"/>
        <v>Endo, 9-5</v>
      </c>
    </row>
    <row r="25" spans="1:23" ht="25">
      <c r="A25" s="1" t="s">
        <v>96</v>
      </c>
      <c r="B25" s="1"/>
      <c r="C25" s="1" t="s">
        <v>139</v>
      </c>
      <c r="D25" s="1" t="s">
        <v>132</v>
      </c>
      <c r="E25" s="1" t="s">
        <v>31</v>
      </c>
      <c r="F25" s="1" t="s">
        <v>135</v>
      </c>
      <c r="G25" s="1">
        <f>_xlfn.XLOOKUP(F25,'rank lookup'!$A$1:$A$21,'rank lookup'!$B$1:$B$21,,0)</f>
        <v>11</v>
      </c>
      <c r="H25" s="1" t="s">
        <v>206</v>
      </c>
      <c r="I25" s="19">
        <v>188</v>
      </c>
      <c r="J25" s="19">
        <v>177</v>
      </c>
      <c r="K25" s="5">
        <f t="shared" si="0"/>
        <v>50.079221367134451</v>
      </c>
      <c r="L25" s="4">
        <f t="shared" si="1"/>
        <v>74.015748031496059</v>
      </c>
      <c r="M25">
        <f t="shared" si="2"/>
        <v>6</v>
      </c>
      <c r="N25">
        <f t="shared" si="3"/>
        <v>2</v>
      </c>
      <c r="O25" t="str">
        <f t="shared" si="4"/>
        <v>6' 2"</v>
      </c>
      <c r="P25">
        <f t="shared" si="5"/>
        <v>390</v>
      </c>
      <c r="Q25">
        <f t="shared" si="6"/>
        <v>12</v>
      </c>
      <c r="R25">
        <f t="shared" si="6"/>
        <v>7</v>
      </c>
      <c r="S25">
        <f t="shared" si="6"/>
        <v>10</v>
      </c>
      <c r="T25">
        <f>_xlfn.XLOOKUP(A25,'January 2023 Data'!$A$4:$A$49,'January 2023 Data'!$H$4:$H$49,,0)</f>
        <v>186</v>
      </c>
      <c r="U25">
        <f t="shared" si="7"/>
        <v>2</v>
      </c>
      <c r="V25" s="22" t="s">
        <v>223</v>
      </c>
      <c r="W25" t="str">
        <f t="shared" si="8"/>
        <v>Takayasu, 9-5</v>
      </c>
    </row>
    <row r="26" spans="1:23">
      <c r="A26" s="1" t="s">
        <v>103</v>
      </c>
      <c r="B26" s="1"/>
      <c r="C26" s="1" t="s">
        <v>142</v>
      </c>
      <c r="D26" s="1" t="s">
        <v>140</v>
      </c>
      <c r="E26" s="1" t="s">
        <v>141</v>
      </c>
      <c r="F26" s="1" t="s">
        <v>135</v>
      </c>
      <c r="G26" s="1">
        <f>_xlfn.XLOOKUP(F26,'rank lookup'!$A$1:$A$21,'rank lookup'!$B$1:$B$21,,0)</f>
        <v>11</v>
      </c>
      <c r="H26" s="1"/>
      <c r="I26" s="19">
        <v>184</v>
      </c>
      <c r="J26" s="19">
        <v>159</v>
      </c>
      <c r="K26" s="5">
        <f t="shared" si="0"/>
        <v>46.963610586011342</v>
      </c>
      <c r="L26" s="4">
        <f t="shared" si="1"/>
        <v>72.440944881889763</v>
      </c>
      <c r="M26">
        <f t="shared" si="2"/>
        <v>6</v>
      </c>
      <c r="N26">
        <f t="shared" si="3"/>
        <v>0.4</v>
      </c>
      <c r="O26" t="str">
        <f t="shared" si="4"/>
        <v>6' 0.4"</v>
      </c>
      <c r="P26">
        <f t="shared" si="5"/>
        <v>351</v>
      </c>
      <c r="Q26">
        <f t="shared" si="6"/>
        <v>24</v>
      </c>
      <c r="R26">
        <f t="shared" si="6"/>
        <v>22</v>
      </c>
      <c r="S26">
        <f t="shared" si="6"/>
        <v>22</v>
      </c>
      <c r="T26">
        <f>_xlfn.XLOOKUP(A26,'January 2023 Data'!$A$4:$A$49,'January 2023 Data'!$H$4:$H$49,,0)</f>
        <v>184</v>
      </c>
      <c r="U26">
        <f t="shared" si="7"/>
        <v>0</v>
      </c>
      <c r="V26" s="22" t="s">
        <v>220</v>
      </c>
      <c r="W26" t="str">
        <f t="shared" si="8"/>
        <v>Hokutofuji, 7-7</v>
      </c>
    </row>
    <row r="27" spans="1:23">
      <c r="A27" s="1" t="s">
        <v>121</v>
      </c>
      <c r="B27" s="1"/>
      <c r="C27" s="1" t="s">
        <v>137</v>
      </c>
      <c r="D27" s="1" t="s">
        <v>137</v>
      </c>
      <c r="E27" s="1" t="s">
        <v>135</v>
      </c>
      <c r="F27" s="1" t="s">
        <v>142</v>
      </c>
      <c r="G27" s="1">
        <f>_xlfn.XLOOKUP(F27,'rank lookup'!$A$1:$A$21,'rank lookup'!$B$1:$B$21,,0)</f>
        <v>12</v>
      </c>
      <c r="H27" s="1"/>
      <c r="I27" s="19">
        <v>175</v>
      </c>
      <c r="J27" s="19">
        <v>146</v>
      </c>
      <c r="K27" s="5">
        <f t="shared" si="0"/>
        <v>47.673469387755098</v>
      </c>
      <c r="L27" s="4">
        <f t="shared" si="1"/>
        <v>68.897637795275585</v>
      </c>
      <c r="M27">
        <f t="shared" si="2"/>
        <v>5</v>
      </c>
      <c r="N27">
        <f t="shared" si="3"/>
        <v>8.9</v>
      </c>
      <c r="O27" t="str">
        <f t="shared" si="4"/>
        <v>5' 8.9"</v>
      </c>
      <c r="P27">
        <f t="shared" si="5"/>
        <v>322</v>
      </c>
      <c r="Q27">
        <f t="shared" si="6"/>
        <v>38</v>
      </c>
      <c r="R27">
        <f t="shared" si="6"/>
        <v>31</v>
      </c>
      <c r="S27">
        <f t="shared" si="6"/>
        <v>18</v>
      </c>
      <c r="T27">
        <f>_xlfn.XLOOKUP(A27,'January 2023 Data'!$A$4:$A$49,'January 2023 Data'!$H$4:$H$49,,0)</f>
        <v>175</v>
      </c>
      <c r="U27">
        <f t="shared" si="7"/>
        <v>0</v>
      </c>
      <c r="V27" s="22" t="s">
        <v>224</v>
      </c>
      <c r="W27" t="str">
        <f t="shared" si="8"/>
        <v>Ura, 8-6</v>
      </c>
    </row>
    <row r="28" spans="1:23">
      <c r="A28" s="1" t="s">
        <v>98</v>
      </c>
      <c r="B28" s="1"/>
      <c r="C28" s="1" t="s">
        <v>150</v>
      </c>
      <c r="D28" s="1" t="s">
        <v>151</v>
      </c>
      <c r="E28" s="1" t="s">
        <v>151</v>
      </c>
      <c r="F28" s="1" t="s">
        <v>142</v>
      </c>
      <c r="G28" s="1">
        <f>_xlfn.XLOOKUP(F28,'rank lookup'!$A$1:$A$21,'rank lookup'!$B$1:$B$21,,0)</f>
        <v>12</v>
      </c>
      <c r="H28" s="1"/>
      <c r="I28" s="19">
        <v>187</v>
      </c>
      <c r="J28" s="19">
        <v>146</v>
      </c>
      <c r="K28" s="5">
        <f t="shared" si="0"/>
        <v>41.751265406502903</v>
      </c>
      <c r="L28" s="4">
        <f t="shared" si="1"/>
        <v>73.622047244094489</v>
      </c>
      <c r="M28">
        <f t="shared" si="2"/>
        <v>6</v>
      </c>
      <c r="N28">
        <f t="shared" si="3"/>
        <v>1.6</v>
      </c>
      <c r="O28" t="str">
        <f t="shared" si="4"/>
        <v>6' 1.6"</v>
      </c>
      <c r="P28">
        <f t="shared" si="5"/>
        <v>322</v>
      </c>
      <c r="Q28">
        <f t="shared" si="6"/>
        <v>16</v>
      </c>
      <c r="R28">
        <f t="shared" si="6"/>
        <v>31</v>
      </c>
      <c r="S28">
        <f t="shared" si="6"/>
        <v>35</v>
      </c>
      <c r="T28">
        <f>_xlfn.XLOOKUP(A28,'January 2023 Data'!$A$4:$A$49,'January 2023 Data'!$H$4:$H$49,,0)</f>
        <v>187</v>
      </c>
      <c r="U28">
        <f t="shared" si="7"/>
        <v>0</v>
      </c>
      <c r="V28" s="22" t="s">
        <v>225</v>
      </c>
      <c r="W28" t="str">
        <f t="shared" si="8"/>
        <v>Ichiyamamoto, 4-10</v>
      </c>
    </row>
    <row r="29" spans="1:23" ht="25">
      <c r="A29" s="1" t="s">
        <v>91</v>
      </c>
      <c r="B29" s="1"/>
      <c r="C29" s="1" t="s">
        <v>135</v>
      </c>
      <c r="D29" s="1" t="s">
        <v>145</v>
      </c>
      <c r="E29" s="1" t="s">
        <v>145</v>
      </c>
      <c r="F29" s="1" t="s">
        <v>143</v>
      </c>
      <c r="G29" s="1">
        <f>_xlfn.XLOOKUP(F29,'rank lookup'!$A$1:$A$21,'rank lookup'!$B$1:$B$21,,0)</f>
        <v>13</v>
      </c>
      <c r="H29" s="1" t="s">
        <v>208</v>
      </c>
      <c r="I29" s="19">
        <v>191</v>
      </c>
      <c r="J29" s="19">
        <v>189</v>
      </c>
      <c r="K29" s="5">
        <f t="shared" si="0"/>
        <v>51.80779035662399</v>
      </c>
      <c r="L29" s="4">
        <f t="shared" si="1"/>
        <v>75.196850393700785</v>
      </c>
      <c r="M29">
        <f t="shared" si="2"/>
        <v>6</v>
      </c>
      <c r="N29">
        <f t="shared" si="3"/>
        <v>3.2</v>
      </c>
      <c r="O29" t="str">
        <f t="shared" si="4"/>
        <v>6' 3.2"</v>
      </c>
      <c r="P29">
        <f t="shared" si="5"/>
        <v>417</v>
      </c>
      <c r="Q29">
        <f t="shared" si="6"/>
        <v>6</v>
      </c>
      <c r="R29">
        <f t="shared" si="6"/>
        <v>3</v>
      </c>
      <c r="S29">
        <f t="shared" si="6"/>
        <v>8</v>
      </c>
      <c r="T29">
        <f>_xlfn.XLOOKUP(A29,'January 2023 Data'!$A$4:$A$49,'January 2023 Data'!$H$4:$H$49,,0)</f>
        <v>190</v>
      </c>
      <c r="U29">
        <f t="shared" si="7"/>
        <v>1</v>
      </c>
      <c r="V29" s="22" t="s">
        <v>228</v>
      </c>
      <c r="W29" t="str">
        <f t="shared" si="8"/>
        <v>Aoiyama, 6-8</v>
      </c>
    </row>
    <row r="30" spans="1:23" ht="25">
      <c r="A30" t="s">
        <v>155</v>
      </c>
      <c r="C30" s="1" t="s">
        <v>154</v>
      </c>
      <c r="D30" s="1" t="s">
        <v>154</v>
      </c>
      <c r="E30" s="1" t="s">
        <v>145</v>
      </c>
      <c r="F30" s="1" t="s">
        <v>143</v>
      </c>
      <c r="G30" s="1">
        <f>_xlfn.XLOOKUP(F30,'rank lookup'!$A$1:$A$21,'rank lookup'!$B$1:$B$21,,0)</f>
        <v>13</v>
      </c>
      <c r="H30" s="1" t="s">
        <v>203</v>
      </c>
      <c r="I30" s="19">
        <v>177</v>
      </c>
      <c r="J30" s="19">
        <v>135</v>
      </c>
      <c r="K30" s="5">
        <f t="shared" si="0"/>
        <v>43.091065785693765</v>
      </c>
      <c r="L30" s="4">
        <f t="shared" si="1"/>
        <v>69.685039370078741</v>
      </c>
      <c r="M30">
        <f t="shared" si="2"/>
        <v>5</v>
      </c>
      <c r="N30">
        <f t="shared" si="3"/>
        <v>9.6999999999999993</v>
      </c>
      <c r="O30" t="str">
        <f t="shared" si="4"/>
        <v>5' 9.7"</v>
      </c>
      <c r="P30">
        <f t="shared" si="5"/>
        <v>298</v>
      </c>
      <c r="Q30">
        <f t="shared" si="6"/>
        <v>35</v>
      </c>
      <c r="R30">
        <f t="shared" si="6"/>
        <v>38</v>
      </c>
      <c r="S30">
        <f t="shared" si="6"/>
        <v>31</v>
      </c>
      <c r="T30">
        <f>_xlfn.XLOOKUP(A30,'January 2023 Data'!$A$4:$A$49,'January 2023 Data'!$H$4:$H$49,,0)</f>
        <v>178</v>
      </c>
      <c r="U30">
        <f t="shared" si="7"/>
        <v>-1</v>
      </c>
      <c r="V30" s="22" t="s">
        <v>228</v>
      </c>
      <c r="W30" t="str">
        <f t="shared" si="8"/>
        <v>Hiradoumi, 6-8</v>
      </c>
    </row>
    <row r="31" spans="1:23">
      <c r="A31" t="s">
        <v>144</v>
      </c>
      <c r="C31" s="1" t="s">
        <v>145</v>
      </c>
      <c r="D31" s="1" t="s">
        <v>140</v>
      </c>
      <c r="E31" s="1" t="s">
        <v>139</v>
      </c>
      <c r="F31" s="1" t="s">
        <v>145</v>
      </c>
      <c r="G31" s="1">
        <f>_xlfn.XLOOKUP(F31,'rank lookup'!$A$1:$A$21,'rank lookup'!$B$1:$B$21,,0)</f>
        <v>14</v>
      </c>
      <c r="H31" s="1"/>
      <c r="I31" s="19">
        <v>184</v>
      </c>
      <c r="J31" s="19">
        <v>150</v>
      </c>
      <c r="K31" s="5">
        <f t="shared" si="0"/>
        <v>44.305293005671075</v>
      </c>
      <c r="L31" s="4">
        <f t="shared" si="1"/>
        <v>72.440944881889763</v>
      </c>
      <c r="M31">
        <f t="shared" si="2"/>
        <v>6</v>
      </c>
      <c r="N31">
        <f t="shared" si="3"/>
        <v>0.4</v>
      </c>
      <c r="O31" t="str">
        <f t="shared" si="4"/>
        <v>6' 0.4"</v>
      </c>
      <c r="P31">
        <f t="shared" si="5"/>
        <v>331</v>
      </c>
      <c r="Q31">
        <f t="shared" si="6"/>
        <v>24</v>
      </c>
      <c r="R31">
        <f t="shared" si="6"/>
        <v>29</v>
      </c>
      <c r="S31">
        <f t="shared" si="6"/>
        <v>25</v>
      </c>
      <c r="T31">
        <f>_xlfn.XLOOKUP(A31,'January 2023 Data'!$A$4:$A$49,'January 2023 Data'!$H$4:$H$49,,0)</f>
        <v>184</v>
      </c>
      <c r="U31">
        <f t="shared" si="7"/>
        <v>0</v>
      </c>
      <c r="V31" s="22" t="s">
        <v>223</v>
      </c>
      <c r="W31" t="str">
        <f t="shared" si="8"/>
        <v>Nishikifuji, 9-5</v>
      </c>
    </row>
    <row r="32" spans="1:23" ht="25">
      <c r="A32" s="1" t="s">
        <v>97</v>
      </c>
      <c r="B32" s="1"/>
      <c r="C32" s="1" t="s">
        <v>143</v>
      </c>
      <c r="D32" s="1" t="s">
        <v>135</v>
      </c>
      <c r="E32" s="1" t="s">
        <v>141</v>
      </c>
      <c r="F32" s="1" t="s">
        <v>145</v>
      </c>
      <c r="G32" s="1">
        <f>_xlfn.XLOOKUP(F32,'rank lookup'!$A$1:$A$21,'rank lookup'!$B$1:$B$21,,0)</f>
        <v>14</v>
      </c>
      <c r="H32" s="1" t="s">
        <v>207</v>
      </c>
      <c r="I32" s="19">
        <v>188</v>
      </c>
      <c r="J32" s="19">
        <v>156</v>
      </c>
      <c r="K32" s="5">
        <f t="shared" si="0"/>
        <v>44.137618832050705</v>
      </c>
      <c r="L32" s="4">
        <f t="shared" si="1"/>
        <v>74.015748031496059</v>
      </c>
      <c r="M32">
        <f t="shared" si="2"/>
        <v>6</v>
      </c>
      <c r="N32">
        <f t="shared" si="3"/>
        <v>2</v>
      </c>
      <c r="O32" t="str">
        <f t="shared" si="4"/>
        <v>6' 2"</v>
      </c>
      <c r="P32">
        <f t="shared" si="5"/>
        <v>344</v>
      </c>
      <c r="Q32">
        <f t="shared" si="6"/>
        <v>12</v>
      </c>
      <c r="R32">
        <f t="shared" si="6"/>
        <v>24</v>
      </c>
      <c r="S32">
        <f t="shared" si="6"/>
        <v>27</v>
      </c>
      <c r="T32">
        <f>_xlfn.XLOOKUP(A32,'January 2023 Data'!$A$4:$A$49,'January 2023 Data'!$H$4:$H$49,,0)</f>
        <v>189</v>
      </c>
      <c r="U32">
        <f t="shared" si="7"/>
        <v>-1</v>
      </c>
      <c r="V32" s="22" t="s">
        <v>226</v>
      </c>
      <c r="W32" t="str">
        <f t="shared" si="8"/>
        <v>Myogiryu, 5-9</v>
      </c>
    </row>
    <row r="33" spans="1:23" ht="25">
      <c r="A33" s="1" t="s">
        <v>101</v>
      </c>
      <c r="B33" s="1"/>
      <c r="C33" s="1" t="s">
        <v>145</v>
      </c>
      <c r="D33" s="1" t="s">
        <v>143</v>
      </c>
      <c r="E33" s="1" t="s">
        <v>143</v>
      </c>
      <c r="F33" s="1" t="s">
        <v>147</v>
      </c>
      <c r="G33" s="1">
        <f>_xlfn.XLOOKUP(F33,'rank lookup'!$A$1:$A$21,'rank lookup'!$B$1:$B$21,,0)</f>
        <v>15</v>
      </c>
      <c r="H33" s="1" t="s">
        <v>209</v>
      </c>
      <c r="I33" s="19">
        <v>183</v>
      </c>
      <c r="J33" s="19">
        <v>165</v>
      </c>
      <c r="K33" s="5">
        <f t="shared" si="0"/>
        <v>49.269909522529787</v>
      </c>
      <c r="L33" s="4">
        <f t="shared" si="1"/>
        <v>72.047244094488192</v>
      </c>
      <c r="M33">
        <f t="shared" si="2"/>
        <v>6</v>
      </c>
      <c r="N33">
        <f t="shared" si="3"/>
        <v>0</v>
      </c>
      <c r="O33" t="str">
        <f t="shared" si="4"/>
        <v>6' 0"</v>
      </c>
      <c r="P33">
        <f t="shared" si="5"/>
        <v>364</v>
      </c>
      <c r="Q33">
        <f t="shared" si="6"/>
        <v>29</v>
      </c>
      <c r="R33">
        <f t="shared" si="6"/>
        <v>16</v>
      </c>
      <c r="S33">
        <f t="shared" si="6"/>
        <v>14</v>
      </c>
      <c r="T33">
        <f>_xlfn.XLOOKUP(A33,'January 2023 Data'!$A$4:$A$49,'January 2023 Data'!$H$4:$H$49,,0)</f>
        <v>184</v>
      </c>
      <c r="U33">
        <f t="shared" si="7"/>
        <v>-1</v>
      </c>
      <c r="V33" s="22" t="s">
        <v>224</v>
      </c>
      <c r="W33" t="str">
        <f t="shared" si="8"/>
        <v>Takanosho, 8-6</v>
      </c>
    </row>
    <row r="34" spans="1:23" ht="25">
      <c r="A34" s="1" t="s">
        <v>166</v>
      </c>
      <c r="D34" t="s">
        <v>151</v>
      </c>
      <c r="E34" s="1" t="s">
        <v>151</v>
      </c>
      <c r="F34" s="1" t="s">
        <v>147</v>
      </c>
      <c r="G34" s="1">
        <f>_xlfn.XLOOKUP(F34,'rank lookup'!$A$1:$A$21,'rank lookup'!$B$1:$B$21,,0)</f>
        <v>15</v>
      </c>
      <c r="H34" s="1" t="s">
        <v>210</v>
      </c>
      <c r="I34" s="19">
        <v>192</v>
      </c>
      <c r="J34" s="19">
        <v>159</v>
      </c>
      <c r="K34" s="5">
        <f t="shared" si="0"/>
        <v>43.131510416666671</v>
      </c>
      <c r="L34" s="4">
        <f t="shared" si="1"/>
        <v>75.59055118110237</v>
      </c>
      <c r="M34">
        <f t="shared" si="2"/>
        <v>6</v>
      </c>
      <c r="N34">
        <f t="shared" si="3"/>
        <v>3.6</v>
      </c>
      <c r="O34" t="str">
        <f t="shared" si="4"/>
        <v>6' 3.6"</v>
      </c>
      <c r="P34">
        <f t="shared" si="5"/>
        <v>351</v>
      </c>
      <c r="Q34">
        <f t="shared" si="6"/>
        <v>3</v>
      </c>
      <c r="R34">
        <f t="shared" si="6"/>
        <v>22</v>
      </c>
      <c r="S34">
        <f t="shared" si="6"/>
        <v>30</v>
      </c>
      <c r="T34">
        <f>_xlfn.XLOOKUP(A34,'January 2023 Data'!$A$4:$A$49,'January 2023 Data'!$H$4:$H$49,,0)</f>
        <v>191</v>
      </c>
      <c r="U34">
        <f t="shared" si="7"/>
        <v>1</v>
      </c>
      <c r="V34" s="22" t="s">
        <v>227</v>
      </c>
      <c r="W34" t="str">
        <f t="shared" si="8"/>
        <v>Azumaryu, 3-11</v>
      </c>
    </row>
    <row r="35" spans="1:23">
      <c r="A35" s="1" t="s">
        <v>167</v>
      </c>
      <c r="D35" t="s">
        <v>152</v>
      </c>
      <c r="E35" t="s">
        <v>148</v>
      </c>
      <c r="F35" t="s">
        <v>148</v>
      </c>
      <c r="G35" s="1">
        <f>_xlfn.XLOOKUP(F35,'rank lookup'!$A$1:$A$21,'rank lookup'!$B$1:$B$21,,0)</f>
        <v>16</v>
      </c>
      <c r="I35" s="19">
        <v>193</v>
      </c>
      <c r="J35" s="19">
        <v>156</v>
      </c>
      <c r="K35" s="5">
        <f t="shared" si="0"/>
        <v>41.880318934736501</v>
      </c>
      <c r="L35" s="4">
        <f t="shared" si="1"/>
        <v>75.984251968503941</v>
      </c>
      <c r="M35">
        <f t="shared" si="2"/>
        <v>6</v>
      </c>
      <c r="N35">
        <f t="shared" si="3"/>
        <v>4</v>
      </c>
      <c r="O35" t="str">
        <f t="shared" si="4"/>
        <v>6' 4"</v>
      </c>
      <c r="P35">
        <f t="shared" si="5"/>
        <v>344</v>
      </c>
      <c r="Q35">
        <f t="shared" si="6"/>
        <v>2</v>
      </c>
      <c r="R35">
        <f t="shared" si="6"/>
        <v>24</v>
      </c>
      <c r="S35">
        <f t="shared" si="6"/>
        <v>34</v>
      </c>
      <c r="T35">
        <f>_xlfn.XLOOKUP(A35,'January 2023 Data'!$A$4:$A$49,'January 2023 Data'!$H$4:$H$49,,0)</f>
        <v>193</v>
      </c>
      <c r="U35">
        <f t="shared" si="7"/>
        <v>0</v>
      </c>
      <c r="V35" s="22" t="s">
        <v>226</v>
      </c>
      <c r="W35" t="str">
        <f t="shared" si="8"/>
        <v>Kagayaki, 5-9</v>
      </c>
    </row>
    <row r="36" spans="1:23">
      <c r="A36" s="1" t="s">
        <v>104</v>
      </c>
      <c r="B36" s="1"/>
      <c r="C36" s="1" t="s">
        <v>140</v>
      </c>
      <c r="D36" s="1" t="s">
        <v>142</v>
      </c>
      <c r="E36" s="1" t="s">
        <v>154</v>
      </c>
      <c r="F36" s="1" t="s">
        <v>148</v>
      </c>
      <c r="G36" s="1">
        <f>_xlfn.XLOOKUP(F36,'rank lookup'!$A$1:$A$21,'rank lookup'!$B$1:$B$21,,0)</f>
        <v>16</v>
      </c>
      <c r="H36" s="1"/>
      <c r="I36" s="19">
        <v>186</v>
      </c>
      <c r="J36" s="19">
        <v>171</v>
      </c>
      <c r="K36" s="5">
        <f t="shared" ref="K36:K67" si="10">J36/(I36*I36)*10000</f>
        <v>49.427679500520291</v>
      </c>
      <c r="L36" s="4">
        <f t="shared" ref="L36:L53" si="11">CONVERT(I36,"cm","in")</f>
        <v>73.228346456692918</v>
      </c>
      <c r="M36">
        <f t="shared" ref="M36:M67" si="12">_xlfn.FLOOR.MATH(L36/12)</f>
        <v>6</v>
      </c>
      <c r="N36">
        <f t="shared" ref="N36:N67" si="13">ROUND(L36-M36*12,1)</f>
        <v>1.2</v>
      </c>
      <c r="O36" t="str">
        <f t="shared" ref="O36:O67" si="14">M36&amp;"' "&amp;N36&amp;""""</f>
        <v>6' 1.2"</v>
      </c>
      <c r="P36">
        <f t="shared" ref="P36:P53" si="15">ROUND(CONVERT(J36,"kg","lbm"),0)</f>
        <v>377</v>
      </c>
      <c r="Q36">
        <f t="shared" si="6"/>
        <v>18</v>
      </c>
      <c r="R36">
        <f t="shared" si="6"/>
        <v>13</v>
      </c>
      <c r="S36">
        <f t="shared" si="6"/>
        <v>12</v>
      </c>
      <c r="T36">
        <f>_xlfn.XLOOKUP(A36,'January 2023 Data'!$A$4:$A$49,'January 2023 Data'!$H$4:$H$49,,0)</f>
        <v>186</v>
      </c>
      <c r="U36">
        <f t="shared" si="7"/>
        <v>0</v>
      </c>
      <c r="V36" s="22" t="s">
        <v>220</v>
      </c>
      <c r="W36" t="str">
        <f t="shared" si="8"/>
        <v>Takarafuji, 7-7</v>
      </c>
    </row>
    <row r="37" spans="1:23">
      <c r="A37" s="1" t="s">
        <v>122</v>
      </c>
      <c r="B37" s="1"/>
      <c r="C37" s="1" t="s">
        <v>143</v>
      </c>
      <c r="D37" s="1" t="s">
        <v>148</v>
      </c>
      <c r="E37" s="1" t="s">
        <v>150</v>
      </c>
      <c r="F37" s="1" t="s">
        <v>150</v>
      </c>
      <c r="G37" s="1">
        <f>_xlfn.XLOOKUP(F37,'rank lookup'!$A$1:$A$21,'rank lookup'!$B$1:$B$21,,0)</f>
        <v>17</v>
      </c>
      <c r="H37" s="1"/>
      <c r="I37" s="19">
        <v>176</v>
      </c>
      <c r="J37" s="19">
        <v>129</v>
      </c>
      <c r="K37" s="5">
        <f t="shared" si="10"/>
        <v>41.645144628099175</v>
      </c>
      <c r="L37" s="4">
        <f t="shared" si="11"/>
        <v>69.29133858267717</v>
      </c>
      <c r="M37">
        <f t="shared" si="12"/>
        <v>5</v>
      </c>
      <c r="N37">
        <f t="shared" si="13"/>
        <v>9.3000000000000007</v>
      </c>
      <c r="O37" t="str">
        <f t="shared" si="14"/>
        <v>5' 9.3"</v>
      </c>
      <c r="P37">
        <f t="shared" si="15"/>
        <v>284</v>
      </c>
      <c r="Q37">
        <f t="shared" si="6"/>
        <v>37</v>
      </c>
      <c r="R37">
        <f t="shared" si="6"/>
        <v>41</v>
      </c>
      <c r="S37">
        <f t="shared" si="6"/>
        <v>36</v>
      </c>
      <c r="T37">
        <f>_xlfn.XLOOKUP(A37,'January 2023 Data'!$A$4:$A$49,'January 2023 Data'!$H$4:$H$49,,0)</f>
        <v>176</v>
      </c>
      <c r="U37">
        <f t="shared" si="7"/>
        <v>0</v>
      </c>
      <c r="V37" s="22" t="s">
        <v>224</v>
      </c>
      <c r="W37" t="str">
        <f t="shared" si="8"/>
        <v>Kotoeko, 8-6</v>
      </c>
    </row>
    <row r="38" spans="1:23">
      <c r="A38" s="1" t="s">
        <v>188</v>
      </c>
      <c r="F38" t="s">
        <v>150</v>
      </c>
      <c r="G38" s="1">
        <f>_xlfn.XLOOKUP(F38,'rank lookup'!$A$1:$A$21,'rank lookup'!$B$1:$B$21,,0)</f>
        <v>17</v>
      </c>
      <c r="I38" s="19">
        <v>185</v>
      </c>
      <c r="J38" s="19">
        <v>189</v>
      </c>
      <c r="K38" s="5">
        <f t="shared" si="10"/>
        <v>55.22279035792549</v>
      </c>
      <c r="L38" s="4">
        <f t="shared" si="11"/>
        <v>72.834645669291348</v>
      </c>
      <c r="M38">
        <f t="shared" si="12"/>
        <v>6</v>
      </c>
      <c r="N38">
        <f t="shared" si="13"/>
        <v>0.8</v>
      </c>
      <c r="O38" t="str">
        <f t="shared" si="14"/>
        <v>6' 0.8"</v>
      </c>
      <c r="P38">
        <f t="shared" si="15"/>
        <v>417</v>
      </c>
      <c r="Q38">
        <f t="shared" si="6"/>
        <v>21</v>
      </c>
      <c r="R38">
        <f t="shared" si="6"/>
        <v>3</v>
      </c>
      <c r="S38">
        <f t="shared" si="6"/>
        <v>3</v>
      </c>
      <c r="T38" t="e">
        <f>_xlfn.XLOOKUP(A38,'January 2023 Data'!$A$4:$A$49,'January 2023 Data'!$H$4:$H$49,,0)</f>
        <v>#N/A</v>
      </c>
      <c r="U38" t="e">
        <f t="shared" si="7"/>
        <v>#N/A</v>
      </c>
      <c r="V38" s="22" t="s">
        <v>224</v>
      </c>
      <c r="W38" t="str">
        <f t="shared" si="8"/>
        <v>Daishoho, 8-6</v>
      </c>
    </row>
    <row r="39" spans="1:23">
      <c r="A39" s="1" t="s">
        <v>189</v>
      </c>
      <c r="F39" t="s">
        <v>151</v>
      </c>
      <c r="G39" s="1">
        <f>_xlfn.XLOOKUP(F39,'rank lookup'!$A$1:$A$21,'rank lookup'!$B$1:$B$21,,0)</f>
        <v>18</v>
      </c>
      <c r="I39" s="19">
        <v>192</v>
      </c>
      <c r="J39" s="19">
        <v>174</v>
      </c>
      <c r="K39" s="5">
        <f t="shared" si="10"/>
        <v>47.200520833333329</v>
      </c>
      <c r="L39" s="4">
        <f t="shared" si="11"/>
        <v>75.59055118110237</v>
      </c>
      <c r="M39">
        <f t="shared" si="12"/>
        <v>6</v>
      </c>
      <c r="N39">
        <f t="shared" si="13"/>
        <v>3.6</v>
      </c>
      <c r="O39" t="str">
        <f t="shared" si="14"/>
        <v>6' 3.6"</v>
      </c>
      <c r="P39">
        <f t="shared" si="15"/>
        <v>384</v>
      </c>
      <c r="Q39">
        <f t="shared" si="6"/>
        <v>3</v>
      </c>
      <c r="R39">
        <f t="shared" si="6"/>
        <v>10</v>
      </c>
      <c r="S39">
        <f t="shared" si="6"/>
        <v>21</v>
      </c>
      <c r="T39" t="e">
        <f>_xlfn.XLOOKUP(A39,'January 2023 Data'!$A$4:$A$49,'January 2023 Data'!$H$4:$H$49,,0)</f>
        <v>#N/A</v>
      </c>
      <c r="U39" t="e">
        <f t="shared" si="7"/>
        <v>#N/A</v>
      </c>
      <c r="V39" s="22" t="s">
        <v>221</v>
      </c>
      <c r="W39" t="str">
        <f t="shared" si="8"/>
        <v>Kinbozan, 10-4</v>
      </c>
    </row>
    <row r="40" spans="1:23">
      <c r="A40" s="1" t="s">
        <v>190</v>
      </c>
      <c r="F40" t="s">
        <v>151</v>
      </c>
      <c r="G40" s="1">
        <f>_xlfn.XLOOKUP(F40,'rank lookup'!$A$1:$A$21,'rank lookup'!$B$1:$B$21,,0)</f>
        <v>18</v>
      </c>
      <c r="I40" s="19">
        <v>171</v>
      </c>
      <c r="J40" s="19">
        <v>171</v>
      </c>
      <c r="K40" s="5">
        <f t="shared" si="10"/>
        <v>58.479532163742689</v>
      </c>
      <c r="L40" s="4">
        <f t="shared" si="11"/>
        <v>67.322834645669289</v>
      </c>
      <c r="M40">
        <f t="shared" si="12"/>
        <v>5</v>
      </c>
      <c r="N40">
        <f t="shared" si="13"/>
        <v>7.3</v>
      </c>
      <c r="O40" t="str">
        <f t="shared" si="14"/>
        <v>5' 7.3"</v>
      </c>
      <c r="P40">
        <f t="shared" si="15"/>
        <v>377</v>
      </c>
      <c r="Q40">
        <f t="shared" si="6"/>
        <v>41</v>
      </c>
      <c r="R40">
        <f t="shared" si="6"/>
        <v>13</v>
      </c>
      <c r="S40">
        <f t="shared" si="6"/>
        <v>1</v>
      </c>
      <c r="T40" t="e">
        <f>_xlfn.XLOOKUP(A40,'January 2023 Data'!$A$4:$A$49,'January 2023 Data'!$H$4:$H$49,,0)</f>
        <v>#N/A</v>
      </c>
      <c r="U40" t="e">
        <f t="shared" si="7"/>
        <v>#N/A</v>
      </c>
      <c r="V40" s="22" t="s">
        <v>225</v>
      </c>
      <c r="W40" t="str">
        <f t="shared" si="8"/>
        <v>Bushozan, 4-10</v>
      </c>
    </row>
    <row r="41" spans="1:23" ht="25">
      <c r="A41" s="1" t="s">
        <v>88</v>
      </c>
      <c r="B41" s="1"/>
      <c r="C41" s="1" t="s">
        <v>150</v>
      </c>
      <c r="D41" s="1" t="s">
        <v>150</v>
      </c>
      <c r="E41" s="1" t="s">
        <v>142</v>
      </c>
      <c r="F41" s="1" t="s">
        <v>152</v>
      </c>
      <c r="G41" s="1">
        <f>_xlfn.XLOOKUP(F41,'rank lookup'!$A$1:$A$21,'rank lookup'!$B$1:$B$21,,0)</f>
        <v>19</v>
      </c>
      <c r="H41" s="1" t="s">
        <v>211</v>
      </c>
      <c r="I41" s="19">
        <v>190</v>
      </c>
      <c r="J41" s="19">
        <v>178</v>
      </c>
      <c r="K41" s="5">
        <f t="shared" si="10"/>
        <v>49.307479224376735</v>
      </c>
      <c r="L41" s="4">
        <f t="shared" si="11"/>
        <v>74.803149606299215</v>
      </c>
      <c r="M41">
        <f t="shared" si="12"/>
        <v>6</v>
      </c>
      <c r="N41">
        <f t="shared" si="13"/>
        <v>2.8</v>
      </c>
      <c r="O41" t="str">
        <f t="shared" si="14"/>
        <v>6' 2.8"</v>
      </c>
      <c r="P41">
        <f t="shared" si="15"/>
        <v>392</v>
      </c>
      <c r="Q41">
        <f t="shared" si="6"/>
        <v>8</v>
      </c>
      <c r="R41">
        <f t="shared" si="6"/>
        <v>6</v>
      </c>
      <c r="S41">
        <f t="shared" si="6"/>
        <v>13</v>
      </c>
      <c r="T41">
        <f>_xlfn.XLOOKUP(A41,'January 2023 Data'!$A$4:$A$49,'January 2023 Data'!$H$4:$H$49,,0)</f>
        <v>189</v>
      </c>
      <c r="U41">
        <f t="shared" si="7"/>
        <v>1</v>
      </c>
      <c r="V41" s="22" t="s">
        <v>220</v>
      </c>
      <c r="W41" t="str">
        <f t="shared" si="8"/>
        <v>Oho, 7-7</v>
      </c>
    </row>
    <row r="42" spans="1:23">
      <c r="A42" s="1" t="s">
        <v>191</v>
      </c>
      <c r="F42" t="s">
        <v>152</v>
      </c>
      <c r="G42" s="1">
        <f>_xlfn.XLOOKUP(F42,'rank lookup'!$A$1:$A$21,'rank lookup'!$B$1:$B$21,,0)</f>
        <v>19</v>
      </c>
      <c r="I42" s="19">
        <v>204</v>
      </c>
      <c r="J42" s="19">
        <v>177</v>
      </c>
      <c r="K42" s="5">
        <f t="shared" si="10"/>
        <v>42.531718569780857</v>
      </c>
      <c r="L42" s="4">
        <f t="shared" si="11"/>
        <v>80.314960629921259</v>
      </c>
      <c r="M42">
        <f t="shared" si="12"/>
        <v>6</v>
      </c>
      <c r="N42">
        <f t="shared" si="13"/>
        <v>8.3000000000000007</v>
      </c>
      <c r="O42" t="str">
        <f t="shared" si="14"/>
        <v>6' 8.3"</v>
      </c>
      <c r="P42">
        <f t="shared" si="15"/>
        <v>390</v>
      </c>
      <c r="Q42">
        <f t="shared" si="6"/>
        <v>1</v>
      </c>
      <c r="R42">
        <f t="shared" si="6"/>
        <v>7</v>
      </c>
      <c r="S42">
        <f t="shared" si="6"/>
        <v>33</v>
      </c>
      <c r="T42" t="e">
        <f>_xlfn.XLOOKUP(A42,'January 2023 Data'!$A$4:$A$49,'January 2023 Data'!$H$4:$H$49,,0)</f>
        <v>#N/A</v>
      </c>
      <c r="U42" t="e">
        <f t="shared" si="7"/>
        <v>#N/A</v>
      </c>
      <c r="V42" s="22" t="s">
        <v>224</v>
      </c>
      <c r="W42" t="str">
        <f t="shared" si="8"/>
        <v>Hokuseiho, 8-6</v>
      </c>
    </row>
    <row r="43" spans="1:23" ht="25">
      <c r="A43" s="1" t="s">
        <v>110</v>
      </c>
      <c r="B43" s="1"/>
      <c r="C43" s="1" t="s">
        <v>151</v>
      </c>
      <c r="D43" s="1" t="s">
        <v>145</v>
      </c>
      <c r="E43" s="1" t="s">
        <v>147</v>
      </c>
      <c r="F43" s="1" t="s">
        <v>154</v>
      </c>
      <c r="G43" s="1">
        <f>_xlfn.XLOOKUP(F43,'rank lookup'!$A$1:$A$21,'rank lookup'!$B$1:$B$21,,0)</f>
        <v>20</v>
      </c>
      <c r="H43" s="1" t="s">
        <v>205</v>
      </c>
      <c r="I43" s="19">
        <v>184</v>
      </c>
      <c r="J43" s="19">
        <v>137</v>
      </c>
      <c r="K43" s="5">
        <f t="shared" si="10"/>
        <v>40.465500945179578</v>
      </c>
      <c r="L43" s="4">
        <f t="shared" si="11"/>
        <v>72.440944881889763</v>
      </c>
      <c r="M43">
        <f t="shared" si="12"/>
        <v>6</v>
      </c>
      <c r="N43">
        <f t="shared" si="13"/>
        <v>0.4</v>
      </c>
      <c r="O43" t="str">
        <f t="shared" si="14"/>
        <v>6' 0.4"</v>
      </c>
      <c r="P43">
        <f t="shared" si="15"/>
        <v>302</v>
      </c>
      <c r="Q43">
        <f t="shared" si="6"/>
        <v>24</v>
      </c>
      <c r="R43">
        <f t="shared" si="6"/>
        <v>37</v>
      </c>
      <c r="S43">
        <f t="shared" si="6"/>
        <v>39</v>
      </c>
      <c r="T43">
        <f>_xlfn.XLOOKUP(A43,'January 2023 Data'!$A$4:$A$49,'January 2023 Data'!$H$4:$H$49,,0)</f>
        <v>183</v>
      </c>
      <c r="U43">
        <f t="shared" si="7"/>
        <v>1</v>
      </c>
      <c r="V43" s="22" t="s">
        <v>223</v>
      </c>
      <c r="W43" t="str">
        <f t="shared" si="8"/>
        <v>Chiyoshoma, 9-5</v>
      </c>
    </row>
    <row r="44" spans="1:23" ht="25">
      <c r="A44" s="1" t="s">
        <v>108</v>
      </c>
      <c r="B44" s="1"/>
      <c r="C44" s="1" t="s">
        <v>152</v>
      </c>
      <c r="D44" s="1" t="s">
        <v>170</v>
      </c>
      <c r="E44" s="1" t="s">
        <v>152</v>
      </c>
      <c r="F44" s="1" t="s">
        <v>154</v>
      </c>
      <c r="G44" s="1">
        <f>_xlfn.XLOOKUP(F44,'rank lookup'!$A$1:$A$21,'rank lookup'!$B$1:$B$21,,0)</f>
        <v>20</v>
      </c>
      <c r="H44" s="1" t="s">
        <v>202</v>
      </c>
      <c r="I44" s="19">
        <v>185</v>
      </c>
      <c r="J44" s="19">
        <v>200</v>
      </c>
      <c r="K44" s="5">
        <f t="shared" si="10"/>
        <v>58.436815193571952</v>
      </c>
      <c r="L44" s="4">
        <f t="shared" si="11"/>
        <v>72.834645669291348</v>
      </c>
      <c r="M44">
        <f t="shared" si="12"/>
        <v>6</v>
      </c>
      <c r="N44">
        <f t="shared" si="13"/>
        <v>0.8</v>
      </c>
      <c r="O44" t="str">
        <f t="shared" si="14"/>
        <v>6' 0.8"</v>
      </c>
      <c r="P44">
        <f t="shared" si="15"/>
        <v>441</v>
      </c>
      <c r="Q44">
        <f t="shared" si="6"/>
        <v>21</v>
      </c>
      <c r="R44">
        <f t="shared" si="6"/>
        <v>1</v>
      </c>
      <c r="S44">
        <f t="shared" si="6"/>
        <v>2</v>
      </c>
      <c r="T44">
        <f>_xlfn.XLOOKUP(A44,'January 2023 Data'!$A$4:$A$49,'January 2023 Data'!$H$4:$H$49,,0)</f>
        <v>184</v>
      </c>
      <c r="U44">
        <f t="shared" si="7"/>
        <v>1</v>
      </c>
      <c r="V44" s="22" t="s">
        <v>220</v>
      </c>
      <c r="W44" t="str">
        <f t="shared" si="8"/>
        <v>Tsurugisho, 7-7</v>
      </c>
    </row>
    <row r="45" spans="1:23" ht="25">
      <c r="A45" t="s">
        <v>153</v>
      </c>
      <c r="C45" s="1" t="s">
        <v>154</v>
      </c>
      <c r="D45" s="1" t="s">
        <v>170</v>
      </c>
      <c r="E45" s="1" t="s">
        <v>152</v>
      </c>
      <c r="F45" s="1" t="s">
        <v>186</v>
      </c>
      <c r="G45" s="1">
        <f>_xlfn.XLOOKUP(F45,'rank lookup'!$A$1:$A$21,'rank lookup'!$B$1:$B$21,,0)</f>
        <v>21</v>
      </c>
      <c r="H45" s="1" t="s">
        <v>212</v>
      </c>
      <c r="I45" s="19">
        <v>189</v>
      </c>
      <c r="J45" s="19">
        <v>194</v>
      </c>
      <c r="K45" s="5">
        <f t="shared" si="10"/>
        <v>54.309789759525202</v>
      </c>
      <c r="L45" s="4">
        <f t="shared" si="11"/>
        <v>74.409448818897644</v>
      </c>
      <c r="M45">
        <f t="shared" si="12"/>
        <v>6</v>
      </c>
      <c r="N45">
        <f t="shared" si="13"/>
        <v>2.4</v>
      </c>
      <c r="O45" t="str">
        <f t="shared" si="14"/>
        <v>6' 2.4"</v>
      </c>
      <c r="P45">
        <f t="shared" si="15"/>
        <v>428</v>
      </c>
      <c r="Q45">
        <f t="shared" si="6"/>
        <v>9</v>
      </c>
      <c r="R45">
        <f t="shared" si="6"/>
        <v>2</v>
      </c>
      <c r="S45">
        <f t="shared" si="6"/>
        <v>4</v>
      </c>
      <c r="T45">
        <f>_xlfn.XLOOKUP(A45,'January 2023 Data'!$A$4:$A$49,'January 2023 Data'!$H$4:$H$49,,0)</f>
        <v>190</v>
      </c>
      <c r="U45">
        <f t="shared" si="7"/>
        <v>-1</v>
      </c>
      <c r="V45" s="22" t="s">
        <v>220</v>
      </c>
      <c r="W45" t="str">
        <f t="shared" si="8"/>
        <v>Mitoryu, 7-7</v>
      </c>
    </row>
    <row r="46" spans="1:23" ht="25">
      <c r="A46" s="1" t="s">
        <v>89</v>
      </c>
      <c r="B46" s="1">
        <v>1</v>
      </c>
      <c r="C46" s="1" t="s">
        <v>42</v>
      </c>
      <c r="D46" s="1" t="s">
        <v>136</v>
      </c>
      <c r="E46" s="1" t="s">
        <v>135</v>
      </c>
      <c r="F46" s="1" t="s">
        <v>170</v>
      </c>
      <c r="G46" s="1" t="e">
        <f>_xlfn.XLOOKUP(F46,'rank lookup'!$A$1:$A$21,'rank lookup'!$B$1:$B$21,,0)</f>
        <v>#N/A</v>
      </c>
      <c r="H46" s="1" t="s">
        <v>208</v>
      </c>
      <c r="I46" s="19">
        <v>191</v>
      </c>
      <c r="J46" s="19">
        <v>219</v>
      </c>
      <c r="K46" s="5">
        <f t="shared" si="10"/>
        <v>60.031249143389715</v>
      </c>
      <c r="L46" s="4">
        <f t="shared" si="11"/>
        <v>75.196850393700785</v>
      </c>
      <c r="M46">
        <f t="shared" si="12"/>
        <v>6</v>
      </c>
      <c r="N46">
        <f t="shared" si="13"/>
        <v>3.2</v>
      </c>
      <c r="O46" t="str">
        <f t="shared" si="14"/>
        <v>6' 3.2"</v>
      </c>
      <c r="P46">
        <f t="shared" si="15"/>
        <v>483</v>
      </c>
      <c r="T46">
        <f>_xlfn.XLOOKUP(A46,'January 2023 Data'!$A$4:$A$49,'January 2023 Data'!$H$4:$H$49,,0)</f>
        <v>190</v>
      </c>
      <c r="U46">
        <f>I46-T46</f>
        <v>1</v>
      </c>
      <c r="W46" t="str">
        <f t="shared" si="8"/>
        <v xml:space="preserve">Ichinojo, </v>
      </c>
    </row>
    <row r="47" spans="1:23">
      <c r="A47" s="1" t="s">
        <v>87</v>
      </c>
      <c r="B47" s="1">
        <v>1</v>
      </c>
      <c r="C47" s="1" t="s">
        <v>142</v>
      </c>
      <c r="D47" s="1" t="s">
        <v>142</v>
      </c>
      <c r="E47" s="1" t="s">
        <v>147</v>
      </c>
      <c r="F47" s="1" t="s">
        <v>192</v>
      </c>
      <c r="G47" s="1" t="e">
        <f>_xlfn.XLOOKUP(F47,'rank lookup'!$A$1:$A$21,'rank lookup'!$B$1:$B$21,,0)</f>
        <v>#N/A</v>
      </c>
      <c r="H47" s="1"/>
      <c r="I47" s="19">
        <v>192</v>
      </c>
      <c r="J47" s="19">
        <v>189</v>
      </c>
      <c r="K47" s="5">
        <f t="shared" si="10"/>
        <v>51.26953125</v>
      </c>
      <c r="L47" s="4">
        <f t="shared" si="11"/>
        <v>75.59055118110237</v>
      </c>
      <c r="M47">
        <f t="shared" si="12"/>
        <v>6</v>
      </c>
      <c r="N47">
        <f t="shared" si="13"/>
        <v>3.6</v>
      </c>
      <c r="O47" t="str">
        <f t="shared" si="14"/>
        <v>6' 3.6"</v>
      </c>
      <c r="P47">
        <f t="shared" si="15"/>
        <v>417</v>
      </c>
      <c r="T47">
        <f>_xlfn.XLOOKUP(A47,'January 2023 Data'!$A$4:$A$49,'January 2023 Data'!$H$4:$H$49,,0)</f>
        <v>192</v>
      </c>
      <c r="U47">
        <f t="shared" si="7"/>
        <v>0</v>
      </c>
      <c r="W47" t="str">
        <f t="shared" si="8"/>
        <v xml:space="preserve">Tochinoshin, </v>
      </c>
    </row>
    <row r="48" spans="1:23">
      <c r="A48" s="1" t="s">
        <v>90</v>
      </c>
      <c r="B48" s="1"/>
      <c r="C48" s="1" t="s">
        <v>148</v>
      </c>
      <c r="D48" s="1" t="s">
        <v>150</v>
      </c>
      <c r="E48" s="1" t="s">
        <v>148</v>
      </c>
      <c r="F48" s="1" t="s">
        <v>179</v>
      </c>
      <c r="G48" s="1" t="e">
        <f>_xlfn.XLOOKUP(F48,'rank lookup'!$A$1:$A$21,'rank lookup'!$B$1:$B$21,,0)</f>
        <v>#N/A</v>
      </c>
      <c r="H48" s="1" t="s">
        <v>193</v>
      </c>
      <c r="I48" s="19">
        <v>189</v>
      </c>
      <c r="J48" s="19">
        <v>161</v>
      </c>
      <c r="K48" s="5">
        <f t="shared" si="10"/>
        <v>45.071526553008034</v>
      </c>
      <c r="L48" s="4">
        <f t="shared" si="11"/>
        <v>74.409448818897644</v>
      </c>
      <c r="M48">
        <f t="shared" si="12"/>
        <v>6</v>
      </c>
      <c r="N48">
        <f t="shared" si="13"/>
        <v>2.4</v>
      </c>
      <c r="O48" t="str">
        <f t="shared" si="14"/>
        <v>6' 2.4"</v>
      </c>
      <c r="P48">
        <f t="shared" si="15"/>
        <v>355</v>
      </c>
      <c r="T48">
        <f>_xlfn.XLOOKUP(A48,'January 2023 Data'!$A$4:$A$49,'January 2023 Data'!$H$4:$H$49,,0)</f>
        <v>189</v>
      </c>
      <c r="U48">
        <f t="shared" si="7"/>
        <v>0</v>
      </c>
      <c r="W48" t="str">
        <f t="shared" si="8"/>
        <v xml:space="preserve">Okinoumi, </v>
      </c>
    </row>
    <row r="49" spans="1:23" ht="25">
      <c r="A49" t="s">
        <v>119</v>
      </c>
      <c r="E49" s="1" t="s">
        <v>154</v>
      </c>
      <c r="F49" s="1" t="s">
        <v>169</v>
      </c>
      <c r="G49" s="1" t="e">
        <f>_xlfn.XLOOKUP(F49,'rank lookup'!$A$1:$A$21,'rank lookup'!$B$1:$B$21,,0)</f>
        <v>#N/A</v>
      </c>
      <c r="H49" s="1" t="s">
        <v>213</v>
      </c>
      <c r="I49" s="19">
        <v>178</v>
      </c>
      <c r="J49" s="19">
        <v>166</v>
      </c>
      <c r="K49" s="5">
        <f t="shared" si="10"/>
        <v>52.392374700164119</v>
      </c>
      <c r="L49" s="4">
        <f t="shared" si="11"/>
        <v>70.078740157480311</v>
      </c>
      <c r="M49">
        <f t="shared" si="12"/>
        <v>5</v>
      </c>
      <c r="N49">
        <f t="shared" si="13"/>
        <v>10.1</v>
      </c>
      <c r="O49" t="str">
        <f t="shared" si="14"/>
        <v>5' 10.1"</v>
      </c>
      <c r="P49">
        <f t="shared" si="15"/>
        <v>366</v>
      </c>
      <c r="T49">
        <f>_xlfn.XLOOKUP(A49,'January 2023 Data'!$A$4:$A$49,'January 2023 Data'!$H$4:$H$49,,0)</f>
        <v>177</v>
      </c>
      <c r="U49">
        <f t="shared" si="7"/>
        <v>1</v>
      </c>
      <c r="W49" t="str">
        <f t="shared" si="8"/>
        <v xml:space="preserve">Chiyomaru, </v>
      </c>
    </row>
    <row r="50" spans="1:23">
      <c r="A50" s="1" t="s">
        <v>113</v>
      </c>
      <c r="B50" s="1"/>
      <c r="C50" s="1" t="s">
        <v>147</v>
      </c>
      <c r="D50" s="1" t="s">
        <v>148</v>
      </c>
      <c r="E50" s="1" t="s">
        <v>179</v>
      </c>
      <c r="F50" s="1"/>
      <c r="G50" s="1" t="e">
        <f>_xlfn.XLOOKUP(F50,'rank lookup'!$A$1:$A$21,'rank lookup'!$B$1:$B$21,,0)</f>
        <v>#N/A</v>
      </c>
      <c r="H50" s="1"/>
      <c r="I50" s="19">
        <v>181</v>
      </c>
      <c r="J50" s="19">
        <v>189</v>
      </c>
      <c r="K50" s="5">
        <f t="shared" si="10"/>
        <v>57.690546686609082</v>
      </c>
      <c r="L50" s="4">
        <f t="shared" si="11"/>
        <v>71.259842519685037</v>
      </c>
      <c r="M50">
        <f t="shared" si="12"/>
        <v>5</v>
      </c>
      <c r="N50">
        <f t="shared" si="13"/>
        <v>11.3</v>
      </c>
      <c r="O50" t="str">
        <f t="shared" si="14"/>
        <v>5' 11.3"</v>
      </c>
      <c r="P50">
        <f t="shared" si="15"/>
        <v>417</v>
      </c>
      <c r="T50">
        <f>_xlfn.XLOOKUP(A50,'January 2023 Data'!$A$4:$A$49,'January 2023 Data'!$H$4:$H$49,,0)</f>
        <v>181</v>
      </c>
      <c r="U50">
        <f t="shared" si="7"/>
        <v>0</v>
      </c>
      <c r="W50" t="str">
        <f t="shared" si="8"/>
        <v xml:space="preserve">Chiyotairyu, </v>
      </c>
    </row>
    <row r="51" spans="1:23">
      <c r="A51" s="1" t="s">
        <v>168</v>
      </c>
      <c r="D51" t="s">
        <v>152</v>
      </c>
      <c r="E51" s="1" t="s">
        <v>170</v>
      </c>
      <c r="F51" s="1" t="s">
        <v>187</v>
      </c>
      <c r="G51" s="1" t="e">
        <f>_xlfn.XLOOKUP(F51,'rank lookup'!$A$1:$A$21,'rank lookup'!$B$1:$B$21,,0)</f>
        <v>#N/A</v>
      </c>
      <c r="I51" s="19">
        <v>185</v>
      </c>
      <c r="J51" s="19">
        <v>174</v>
      </c>
      <c r="K51" s="5">
        <f t="shared" si="10"/>
        <v>50.840029218407601</v>
      </c>
      <c r="L51" s="4">
        <f t="shared" si="11"/>
        <v>72.834645669291348</v>
      </c>
      <c r="M51">
        <f t="shared" si="12"/>
        <v>6</v>
      </c>
      <c r="N51">
        <f t="shared" si="13"/>
        <v>0.8</v>
      </c>
      <c r="O51" t="str">
        <f t="shared" si="14"/>
        <v>6' 0.8"</v>
      </c>
      <c r="P51">
        <f t="shared" si="15"/>
        <v>384</v>
      </c>
      <c r="T51">
        <f>_xlfn.XLOOKUP(A51,'January 2023 Data'!$A$4:$A$49,'January 2023 Data'!$H$4:$H$49,,0)</f>
        <v>185</v>
      </c>
      <c r="U51">
        <f t="shared" si="7"/>
        <v>0</v>
      </c>
      <c r="W51" t="str">
        <f t="shared" si="8"/>
        <v xml:space="preserve">Atamifuji, </v>
      </c>
    </row>
    <row r="52" spans="1:23">
      <c r="A52" s="1" t="s">
        <v>126</v>
      </c>
      <c r="B52" s="1"/>
      <c r="C52" s="1" t="s">
        <v>152</v>
      </c>
      <c r="D52" s="1" t="s">
        <v>154</v>
      </c>
      <c r="E52" s="1" t="s">
        <v>180</v>
      </c>
      <c r="F52" s="1" t="s">
        <v>194</v>
      </c>
      <c r="G52" s="1" t="e">
        <f>_xlfn.XLOOKUP(F52,'rank lookup'!$A$1:$A$21,'rank lookup'!$B$1:$B$21,,0)</f>
        <v>#N/A</v>
      </c>
      <c r="H52" s="1"/>
      <c r="I52" s="19">
        <v>169</v>
      </c>
      <c r="J52" s="19">
        <v>107</v>
      </c>
      <c r="K52" s="5">
        <f t="shared" si="10"/>
        <v>37.463674241098005</v>
      </c>
      <c r="L52" s="4">
        <f t="shared" si="11"/>
        <v>66.535433070866134</v>
      </c>
      <c r="M52">
        <f t="shared" si="12"/>
        <v>5</v>
      </c>
      <c r="N52">
        <f t="shared" si="13"/>
        <v>6.5</v>
      </c>
      <c r="O52" t="str">
        <f t="shared" si="14"/>
        <v>5' 6.5"</v>
      </c>
      <c r="P52">
        <f t="shared" si="15"/>
        <v>236</v>
      </c>
      <c r="T52">
        <f>_xlfn.XLOOKUP(A52,'January 2023 Data'!$A$4:$A$49,'January 2023 Data'!$H$4:$H$49,,0)</f>
        <v>169</v>
      </c>
      <c r="U52">
        <f t="shared" si="7"/>
        <v>0</v>
      </c>
      <c r="W52" t="str">
        <f t="shared" si="8"/>
        <v xml:space="preserve">Terutsuyoshi, </v>
      </c>
    </row>
    <row r="53" spans="1:23">
      <c r="A53" s="1" t="s">
        <v>107</v>
      </c>
      <c r="B53" s="1"/>
      <c r="C53" s="1" t="s">
        <v>151</v>
      </c>
      <c r="D53" s="1" t="s">
        <v>169</v>
      </c>
      <c r="E53" s="1" t="s">
        <v>179</v>
      </c>
      <c r="F53" s="1"/>
      <c r="G53" s="1" t="e">
        <f>_xlfn.XLOOKUP(F53,'rank lookup'!$A$1:$A$21,'rank lookup'!$B$1:$B$21,,0)</f>
        <v>#N/A</v>
      </c>
      <c r="H53" s="1"/>
      <c r="I53" s="19">
        <v>185</v>
      </c>
      <c r="J53" s="19">
        <v>181</v>
      </c>
      <c r="K53" s="5">
        <f t="shared" si="10"/>
        <v>52.885317750182615</v>
      </c>
      <c r="L53" s="4">
        <f t="shared" si="11"/>
        <v>72.834645669291348</v>
      </c>
      <c r="M53">
        <f t="shared" si="12"/>
        <v>6</v>
      </c>
      <c r="N53">
        <f t="shared" si="13"/>
        <v>0.8</v>
      </c>
      <c r="O53" t="str">
        <f t="shared" si="14"/>
        <v>6' 0.8"</v>
      </c>
      <c r="P53">
        <f t="shared" si="15"/>
        <v>399</v>
      </c>
      <c r="T53">
        <f>_xlfn.XLOOKUP(A53,'January 2023 Data'!$A$4:$A$49,'January 2023 Data'!$H$4:$H$49,,0)</f>
        <v>185</v>
      </c>
      <c r="U53">
        <f t="shared" si="7"/>
        <v>0</v>
      </c>
      <c r="W53" t="str">
        <f t="shared" si="8"/>
        <v xml:space="preserve">Yutakayama, </v>
      </c>
    </row>
  </sheetData>
  <autoFilter ref="A3:P38" xr:uid="{7067DD38-AD06-4250-9520-A2F29B57D9C0}">
    <sortState xmlns:xlrd2="http://schemas.microsoft.com/office/spreadsheetml/2017/richdata2" ref="A4:P53">
      <sortCondition ref="G3:G38"/>
    </sortState>
  </autoFilter>
  <hyperlinks>
    <hyperlink ref="C2" r:id="rId1" xr:uid="{987FCF13-1964-45BC-85C8-B147D9B22A9E}"/>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47"/>
  <sheetViews>
    <sheetView topLeftCell="B1" workbookViewId="0">
      <selection activeCell="B1" sqref="B1"/>
    </sheetView>
  </sheetViews>
  <sheetFormatPr defaultRowHeight="14.5"/>
  <cols>
    <col min="1" max="1" width="25.81640625" bestFit="1" customWidth="1"/>
    <col min="2" max="2" width="40.54296875" customWidth="1"/>
    <col min="3" max="3" width="2.54296875" customWidth="1"/>
    <col min="4" max="4" width="20.54296875" customWidth="1"/>
    <col min="5" max="5" width="40.54296875" customWidth="1"/>
  </cols>
  <sheetData>
    <row r="1" spans="1:2">
      <c r="A1" t="s">
        <v>0</v>
      </c>
      <c r="B1" t="str" cm="1">
        <f t="array" aca="1" ref="B1" ca="1">CELL("filename")</f>
        <v>https://conning-my.sharepoint.com/personal/marypat_campbell_conning_com/Documents/Documents/STUMP writing/sumo/[March 2023 Grand Sumo tournament height and weight Day 14.xlsx]March 2023 Data</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row r="137" spans="1:1">
      <c r="A137" t="s">
        <v>160</v>
      </c>
    </row>
    <row r="138" spans="1:1">
      <c r="A138" s="17" t="s">
        <v>134</v>
      </c>
    </row>
    <row r="139" spans="1:1">
      <c r="A139" t="s">
        <v>161</v>
      </c>
    </row>
    <row r="141" spans="1:1">
      <c r="A141" t="s">
        <v>183</v>
      </c>
    </row>
    <row r="142" spans="1:1">
      <c r="A142" s="17" t="s">
        <v>134</v>
      </c>
    </row>
    <row r="143" spans="1:1">
      <c r="A143" t="s">
        <v>184</v>
      </c>
    </row>
    <row r="145" spans="1:1">
      <c r="A145" t="s">
        <v>214</v>
      </c>
    </row>
    <row r="146" spans="1:1">
      <c r="A146" s="17" t="s">
        <v>134</v>
      </c>
    </row>
    <row r="147" spans="1:1">
      <c r="A147" t="s">
        <v>215</v>
      </c>
    </row>
  </sheetData>
  <hyperlinks>
    <hyperlink ref="A10" r:id="rId1" xr:uid="{31C73356-7DC0-4298-8CDD-38AFBFE809D7}"/>
    <hyperlink ref="A138" r:id="rId2" xr:uid="{733FC5E5-E250-451A-8A90-1D3BCA57DC39}"/>
    <hyperlink ref="A142" r:id="rId3" xr:uid="{7EFEF7D6-1FE3-4B02-8704-088365A1D545}"/>
    <hyperlink ref="A146" r:id="rId4" xr:uid="{2868AD04-8A08-4848-AFD8-AB4F6CFF8232}"/>
  </hyperlinks>
  <pageMargins left="0.7" right="0.7" top="0.75" bottom="0.75" header="0.3" footer="0.3"/>
  <pageSetup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10</vt:i4>
      </vt:variant>
    </vt:vector>
  </HeadingPairs>
  <TitlesOfParts>
    <vt:vector size="19" baseType="lpstr">
      <vt:lpstr>September 2022 Data</vt:lpstr>
      <vt:lpstr>January 2023 Data</vt:lpstr>
      <vt:lpstr>November 2022 Data</vt:lpstr>
      <vt:lpstr>rank lookup</vt:lpstr>
      <vt:lpstr>Jan 2022 Data</vt:lpstr>
      <vt:lpstr>Jan 2022 Graph Prep</vt:lpstr>
      <vt:lpstr>Original Graph Dec 24 2021</vt:lpstr>
      <vt:lpstr>March 2023 Data</vt:lpstr>
      <vt:lpstr>Documentation Information</vt:lpstr>
      <vt:lpstr>Makuuchi Scatterplot Jan 2022</vt:lpstr>
      <vt:lpstr>BMI Histogram</vt:lpstr>
      <vt:lpstr>Makuuchi Sept 2022</vt:lpstr>
      <vt:lpstr>Makuuchi Nov 2022</vt:lpstr>
      <vt:lpstr>Makuuchi Nov 2022 DISPLAY</vt:lpstr>
      <vt:lpstr>Makuuchi Jan 2023</vt:lpstr>
      <vt:lpstr>Weight change Nov 22 - Jan 23</vt:lpstr>
      <vt:lpstr>Makuuchi Mar 2023</vt:lpstr>
      <vt:lpstr>All wrestlers</vt:lpstr>
      <vt:lpstr>Leaders after Day 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2023-03-25T13:41:25Z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