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worksheets/sheet1.xml" ContentType="application/vnd.openxmlformats-officedocument.spreadsheetml.work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9.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chartsheets/sheet10.xml" ContentType="application/vnd.openxmlformats-officedocument.spreadsheetml.chart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11.xml" ContentType="application/vnd.openxmlformats-officedocument.spreadsheetml.chartsheet+xml"/>
  <Override PartName="/xl/chartsheets/sheet12.xml" ContentType="application/vnd.openxmlformats-officedocument.spreadsheetml.chartsheet+xml"/>
  <Override PartName="/xl/worksheets/sheet12.xml" ContentType="application/vnd.openxmlformats-officedocument.spreadsheetml.worksheet+xml"/>
  <Override PartName="/xl/chartsheets/sheet13.xml" ContentType="application/vnd.openxmlformats-officedocument.spreadsheetml.chartsheet+xml"/>
  <Override PartName="/xl/chartsheets/sheet14.xml" ContentType="application/vnd.openxmlformats-officedocument.spreadsheetml.chart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6.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https://conning-my.sharepoint.com/personal/marypat_campbell_conning_com/Documents/Documents/STUMP writing/sumo/"/>
    </mc:Choice>
  </mc:AlternateContent>
  <xr:revisionPtr revIDLastSave="440" documentId="8_{1316E5D7-0717-466B-872F-D034B38B5633}" xr6:coauthVersionLast="47" xr6:coauthVersionMax="47" xr10:uidLastSave="{1FD50144-7002-4B0A-99BD-07D9D03C760B}"/>
  <bookViews>
    <workbookView minimized="1" xWindow="1040" yWindow="1030" windowWidth="24560" windowHeight="12770" firstSheet="21" activeTab="24" xr2:uid="{F1E5599D-F05E-40F4-BE24-B0CCA4146CB8}"/>
  </bookViews>
  <sheets>
    <sheet name="Makuuchi Scatterplot Jan 2022" sheetId="4" state="hidden" r:id="rId1"/>
    <sheet name="BMI Histogram" sheetId="5" state="hidden" r:id="rId2"/>
    <sheet name="Makuuchi Sept 2022" sheetId="13" state="hidden" r:id="rId3"/>
    <sheet name="Makuuchi Nov 2022" sheetId="15" state="hidden" r:id="rId4"/>
    <sheet name="Makuuchi Nov 2022 DISPLAY" sheetId="16" state="hidden" r:id="rId5"/>
    <sheet name="September 2022 Data" sheetId="11" state="hidden" r:id="rId6"/>
    <sheet name="Makuuchi Jan 2023" sheetId="22" state="hidden" r:id="rId7"/>
    <sheet name="Weight change Nov 22 - Jan 23" sheetId="21" state="hidden" r:id="rId8"/>
    <sheet name="Makuuchi March 2023" sheetId="27" state="hidden" r:id="rId9"/>
    <sheet name="January 2023 Data" sheetId="17" state="hidden" r:id="rId10"/>
    <sheet name="November 2022 Data" sheetId="14" state="hidden" r:id="rId11"/>
    <sheet name="rank lookup" sheetId="12" state="hidden" r:id="rId12"/>
    <sheet name="Jan 2022 Data" sheetId="1" state="hidden" r:id="rId13"/>
    <sheet name="Jan 2022 Graph Prep" sheetId="6" state="hidden" r:id="rId14"/>
    <sheet name="Original Graph Dec 24 2021" sheetId="2" state="hidden" r:id="rId15"/>
    <sheet name="Makuuchi May 2023" sheetId="31" state="hidden" r:id="rId16"/>
    <sheet name="May 2023 Data" sheetId="30" state="hidden" r:id="rId17"/>
    <sheet name="March 2023 Data" sheetId="26" state="hidden" r:id="rId18"/>
    <sheet name="Makuuchi July 2023" sheetId="33" state="hidden" r:id="rId19"/>
    <sheet name="July 2023 Data" sheetId="32" state="hidden" r:id="rId20"/>
    <sheet name="September 2023 OLD DATA" sheetId="38" state="hidden" r:id="rId21"/>
    <sheet name="Weight change" sheetId="39" r:id="rId22"/>
    <sheet name="Height change" sheetId="40" r:id="rId23"/>
    <sheet name="September 2023 Data" sheetId="35" r:id="rId24"/>
    <sheet name="Makuuchi Sept 2023" sheetId="36" r:id="rId25"/>
    <sheet name="Makuuchi Sept 2023 (2)" sheetId="41" r:id="rId26"/>
    <sheet name="Documentation Information" sheetId="3" r:id="rId27"/>
  </sheets>
  <externalReferences>
    <externalReference r:id="rId28"/>
  </externalReferences>
  <definedNames>
    <definedName name="_xlnm._FilterDatabase" localSheetId="9" hidden="1">'January 2023 Data'!$A$3:$O$38</definedName>
    <definedName name="_xlnm._FilterDatabase" localSheetId="19" hidden="1">'July 2023 Data'!$A$3:$R$55</definedName>
    <definedName name="_xlnm._FilterDatabase" localSheetId="17" hidden="1">'March 2023 Data'!$A$3:$P$38</definedName>
    <definedName name="_xlnm._FilterDatabase" localSheetId="16" hidden="1">'May 2023 Data'!$A$3:$R$55</definedName>
    <definedName name="_xlnm._FilterDatabase" localSheetId="10" hidden="1">'November 2022 Data'!$A$3:$N$38</definedName>
    <definedName name="_xlnm._FilterDatabase" localSheetId="5" hidden="1">'September 2022 Data'!$A$3:$L$38</definedName>
    <definedName name="_xlnm._FilterDatabase" localSheetId="23" hidden="1">'September 2023 Data'!$A$3:$S$55</definedName>
    <definedName name="_xlnm._FilterDatabase" localSheetId="20" hidden="1">'September 2023 OLD DATA'!$A$3:$S$55</definedName>
    <definedName name="_xlchart.v1.0" hidden="1">'November 2022 Data'!$I$4:$I$45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olver_eng" localSheetId="12" hidden="1">1</definedName>
    <definedName name="solver_eng" localSheetId="13" hidden="1">1</definedName>
    <definedName name="solver_eng" localSheetId="9" hidden="1">1</definedName>
    <definedName name="solver_eng" localSheetId="19" hidden="1">1</definedName>
    <definedName name="solver_eng" localSheetId="17" hidden="1">1</definedName>
    <definedName name="solver_eng" localSheetId="16" hidden="1">1</definedName>
    <definedName name="solver_eng" localSheetId="10" hidden="1">1</definedName>
    <definedName name="solver_eng" localSheetId="5" hidden="1">1</definedName>
    <definedName name="solver_eng" localSheetId="23" hidden="1">1</definedName>
    <definedName name="solver_eng" localSheetId="20" hidden="1">1</definedName>
    <definedName name="solver_neg" localSheetId="12" hidden="1">1</definedName>
    <definedName name="solver_neg" localSheetId="13" hidden="1">1</definedName>
    <definedName name="solver_neg" localSheetId="9" hidden="1">1</definedName>
    <definedName name="solver_neg" localSheetId="19" hidden="1">1</definedName>
    <definedName name="solver_neg" localSheetId="17" hidden="1">1</definedName>
    <definedName name="solver_neg" localSheetId="16" hidden="1">1</definedName>
    <definedName name="solver_neg" localSheetId="10" hidden="1">1</definedName>
    <definedName name="solver_neg" localSheetId="5" hidden="1">1</definedName>
    <definedName name="solver_neg" localSheetId="23" hidden="1">1</definedName>
    <definedName name="solver_neg" localSheetId="20" hidden="1">1</definedName>
    <definedName name="solver_num" localSheetId="12" hidden="1">0</definedName>
    <definedName name="solver_num" localSheetId="13" hidden="1">0</definedName>
    <definedName name="solver_num" localSheetId="9" hidden="1">0</definedName>
    <definedName name="solver_num" localSheetId="19" hidden="1">0</definedName>
    <definedName name="solver_num" localSheetId="17" hidden="1">0</definedName>
    <definedName name="solver_num" localSheetId="16" hidden="1">0</definedName>
    <definedName name="solver_num" localSheetId="10" hidden="1">0</definedName>
    <definedName name="solver_num" localSheetId="5" hidden="1">0</definedName>
    <definedName name="solver_num" localSheetId="23" hidden="1">0</definedName>
    <definedName name="solver_num" localSheetId="20" hidden="1">0</definedName>
    <definedName name="solver_opt" localSheetId="12" hidden="1">'Jan 2022 Data'!$D$2</definedName>
    <definedName name="solver_opt" localSheetId="13" hidden="1">'Jan 2022 Graph Prep'!$D$2</definedName>
    <definedName name="solver_opt" localSheetId="9" hidden="1">'January 2023 Data'!$H$3</definedName>
    <definedName name="solver_opt" localSheetId="19" hidden="1">'July 2023 Data'!$K$3</definedName>
    <definedName name="solver_opt" localSheetId="17" hidden="1">'March 2023 Data'!$I$3</definedName>
    <definedName name="solver_opt" localSheetId="16" hidden="1">'May 2023 Data'!$K$3</definedName>
    <definedName name="solver_opt" localSheetId="10" hidden="1">'November 2022 Data'!$G$3</definedName>
    <definedName name="solver_opt" localSheetId="5" hidden="1">'September 2022 Data'!$E$3</definedName>
    <definedName name="solver_opt" localSheetId="23" hidden="1">'September 2023 Data'!$L$3</definedName>
    <definedName name="solver_opt" localSheetId="20" hidden="1">'September 2023 OLD DATA'!$L$3</definedName>
    <definedName name="solver_typ" localSheetId="12" hidden="1">1</definedName>
    <definedName name="solver_typ" localSheetId="13" hidden="1">1</definedName>
    <definedName name="solver_typ" localSheetId="9" hidden="1">1</definedName>
    <definedName name="solver_typ" localSheetId="19" hidden="1">1</definedName>
    <definedName name="solver_typ" localSheetId="17" hidden="1">1</definedName>
    <definedName name="solver_typ" localSheetId="16" hidden="1">1</definedName>
    <definedName name="solver_typ" localSheetId="10" hidden="1">1</definedName>
    <definedName name="solver_typ" localSheetId="5" hidden="1">1</definedName>
    <definedName name="solver_typ" localSheetId="23" hidden="1">1</definedName>
    <definedName name="solver_typ" localSheetId="20" hidden="1">1</definedName>
    <definedName name="solver_val" localSheetId="12" hidden="1">0</definedName>
    <definedName name="solver_val" localSheetId="13" hidden="1">0</definedName>
    <definedName name="solver_val" localSheetId="9" hidden="1">0</definedName>
    <definedName name="solver_val" localSheetId="19" hidden="1">0</definedName>
    <definedName name="solver_val" localSheetId="17" hidden="1">0</definedName>
    <definedName name="solver_val" localSheetId="16" hidden="1">0</definedName>
    <definedName name="solver_val" localSheetId="10" hidden="1">0</definedName>
    <definedName name="solver_val" localSheetId="5" hidden="1">0</definedName>
    <definedName name="solver_val" localSheetId="23" hidden="1">0</definedName>
    <definedName name="solver_val" localSheetId="20" hidden="1">0</definedName>
    <definedName name="solver_ver" localSheetId="12" hidden="1">3</definedName>
    <definedName name="solver_ver" localSheetId="13" hidden="1">3</definedName>
    <definedName name="solver_ver" localSheetId="9" hidden="1">3</definedName>
    <definedName name="solver_ver" localSheetId="19" hidden="1">3</definedName>
    <definedName name="solver_ver" localSheetId="17" hidden="1">3</definedName>
    <definedName name="solver_ver" localSheetId="16" hidden="1">3</definedName>
    <definedName name="solver_ver" localSheetId="10" hidden="1">3</definedName>
    <definedName name="solver_ver" localSheetId="5" hidden="1">3</definedName>
    <definedName name="solver_ver" localSheetId="23" hidden="1">3</definedName>
    <definedName name="solver_ver" localSheetId="20" hidden="1">3</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E2" i="35" l="1"/>
  <c r="AE5" i="35"/>
  <c r="AE6" i="35"/>
  <c r="AE7" i="35"/>
  <c r="AE8" i="35"/>
  <c r="AE4" i="35"/>
  <c r="AB2" i="35"/>
  <c r="AB12" i="35"/>
  <c r="AB20" i="35"/>
  <c r="AA4" i="35" a="1"/>
  <c r="AB5" i="35" s="1"/>
  <c r="S58" i="38"/>
  <c r="O58" i="38"/>
  <c r="N58" i="38"/>
  <c r="S57" i="38"/>
  <c r="O57" i="38"/>
  <c r="P57" i="38" s="1"/>
  <c r="N57" i="38"/>
  <c r="J57" i="38"/>
  <c r="S56" i="38"/>
  <c r="O56" i="38"/>
  <c r="P56" i="38" s="1"/>
  <c r="N56" i="38"/>
  <c r="J56" i="38"/>
  <c r="S55" i="38"/>
  <c r="P55" i="38"/>
  <c r="O55" i="38"/>
  <c r="N55" i="38"/>
  <c r="J55" i="38"/>
  <c r="S54" i="38"/>
  <c r="O54" i="38"/>
  <c r="N54" i="38"/>
  <c r="J54" i="38"/>
  <c r="S53" i="38"/>
  <c r="O53" i="38"/>
  <c r="N53" i="38"/>
  <c r="J53" i="38"/>
  <c r="S52" i="38"/>
  <c r="O52" i="38"/>
  <c r="P52" i="38" s="1"/>
  <c r="N52" i="38"/>
  <c r="J52" i="38"/>
  <c r="S51" i="38"/>
  <c r="P51" i="38"/>
  <c r="O51" i="38"/>
  <c r="Q51" i="38" s="1"/>
  <c r="N51" i="38"/>
  <c r="J51" i="38"/>
  <c r="S50" i="38"/>
  <c r="O50" i="38"/>
  <c r="N50" i="38"/>
  <c r="J50" i="38"/>
  <c r="S49" i="38"/>
  <c r="P49" i="38"/>
  <c r="Q49" i="38" s="1"/>
  <c r="R49" i="38" s="1"/>
  <c r="O49" i="38"/>
  <c r="N49" i="38"/>
  <c r="J49" i="38"/>
  <c r="S48" i="38"/>
  <c r="O48" i="38"/>
  <c r="P48" i="38" s="1"/>
  <c r="N48" i="38"/>
  <c r="J48" i="38"/>
  <c r="S47" i="38"/>
  <c r="P47" i="38"/>
  <c r="O47" i="38"/>
  <c r="N47" i="38"/>
  <c r="J47" i="38"/>
  <c r="S46" i="38"/>
  <c r="O46" i="38"/>
  <c r="N46" i="38"/>
  <c r="J46" i="38"/>
  <c r="U45" i="38"/>
  <c r="T45" i="38"/>
  <c r="S45" i="38"/>
  <c r="O45" i="38"/>
  <c r="P45" i="38" s="1"/>
  <c r="N45" i="38"/>
  <c r="V45" i="38" s="1"/>
  <c r="J45" i="38"/>
  <c r="U44" i="38"/>
  <c r="T44" i="38"/>
  <c r="S44" i="38"/>
  <c r="O44" i="38"/>
  <c r="N44" i="38"/>
  <c r="J44" i="38"/>
  <c r="U43" i="38"/>
  <c r="T43" i="38"/>
  <c r="S43" i="38"/>
  <c r="P43" i="38"/>
  <c r="O43" i="38"/>
  <c r="Q43" i="38" s="1"/>
  <c r="N43" i="38"/>
  <c r="V43" i="38" s="1"/>
  <c r="J43" i="38"/>
  <c r="U42" i="38"/>
  <c r="T42" i="38"/>
  <c r="S42" i="38"/>
  <c r="O42" i="38"/>
  <c r="P42" i="38" s="1"/>
  <c r="N42" i="38"/>
  <c r="V42" i="38" s="1"/>
  <c r="J42" i="38"/>
  <c r="U41" i="38"/>
  <c r="T41" i="38"/>
  <c r="S41" i="38"/>
  <c r="O41" i="38"/>
  <c r="P41" i="38" s="1"/>
  <c r="N41" i="38"/>
  <c r="V41" i="38" s="1"/>
  <c r="J41" i="38"/>
  <c r="U40" i="38"/>
  <c r="T40" i="38"/>
  <c r="S40" i="38"/>
  <c r="O40" i="38"/>
  <c r="N40" i="38"/>
  <c r="V40" i="38" s="1"/>
  <c r="J40" i="38"/>
  <c r="U39" i="38"/>
  <c r="T39" i="38"/>
  <c r="S39" i="38"/>
  <c r="P39" i="38"/>
  <c r="R39" i="38" s="1"/>
  <c r="O39" i="38"/>
  <c r="Q39" i="38" s="1"/>
  <c r="N39" i="38"/>
  <c r="V39" i="38" s="1"/>
  <c r="J39" i="38"/>
  <c r="U38" i="38"/>
  <c r="T38" i="38"/>
  <c r="S38" i="38"/>
  <c r="O38" i="38"/>
  <c r="P38" i="38" s="1"/>
  <c r="N38" i="38"/>
  <c r="V38" i="38" s="1"/>
  <c r="J38" i="38"/>
  <c r="U37" i="38"/>
  <c r="T37" i="38"/>
  <c r="S37" i="38"/>
  <c r="O37" i="38"/>
  <c r="P37" i="38" s="1"/>
  <c r="N37" i="38"/>
  <c r="V37" i="38" s="1"/>
  <c r="J37" i="38"/>
  <c r="U36" i="38"/>
  <c r="T36" i="38"/>
  <c r="S36" i="38"/>
  <c r="O36" i="38"/>
  <c r="N36" i="38"/>
  <c r="V36" i="38" s="1"/>
  <c r="J36" i="38"/>
  <c r="U35" i="38"/>
  <c r="T35" i="38"/>
  <c r="S35" i="38"/>
  <c r="P35" i="38"/>
  <c r="R35" i="38" s="1"/>
  <c r="O35" i="38"/>
  <c r="Q35" i="38" s="1"/>
  <c r="N35" i="38"/>
  <c r="V35" i="38" s="1"/>
  <c r="J35" i="38"/>
  <c r="U34" i="38"/>
  <c r="T34" i="38"/>
  <c r="S34" i="38"/>
  <c r="O34" i="38"/>
  <c r="P34" i="38" s="1"/>
  <c r="N34" i="38"/>
  <c r="V34" i="38" s="1"/>
  <c r="J34" i="38"/>
  <c r="U33" i="38"/>
  <c r="T33" i="38"/>
  <c r="S33" i="38"/>
  <c r="O33" i="38"/>
  <c r="P33" i="38" s="1"/>
  <c r="N33" i="38"/>
  <c r="V33" i="38" s="1"/>
  <c r="J33" i="38"/>
  <c r="U32" i="38"/>
  <c r="T32" i="38"/>
  <c r="S32" i="38"/>
  <c r="O32" i="38"/>
  <c r="N32" i="38"/>
  <c r="V32" i="38" s="1"/>
  <c r="J32" i="38"/>
  <c r="U31" i="38"/>
  <c r="T31" i="38"/>
  <c r="S31" i="38"/>
  <c r="P31" i="38"/>
  <c r="O31" i="38"/>
  <c r="Q31" i="38" s="1"/>
  <c r="N31" i="38"/>
  <c r="V31" i="38" s="1"/>
  <c r="J31" i="38"/>
  <c r="U30" i="38"/>
  <c r="T30" i="38"/>
  <c r="S30" i="38"/>
  <c r="O30" i="38"/>
  <c r="P30" i="38" s="1"/>
  <c r="N30" i="38"/>
  <c r="V30" i="38" s="1"/>
  <c r="J30" i="38"/>
  <c r="U29" i="38"/>
  <c r="T29" i="38"/>
  <c r="S29" i="38"/>
  <c r="O29" i="38"/>
  <c r="P29" i="38" s="1"/>
  <c r="N29" i="38"/>
  <c r="V29" i="38" s="1"/>
  <c r="J29" i="38"/>
  <c r="U28" i="38"/>
  <c r="T28" i="38"/>
  <c r="S28" i="38"/>
  <c r="O28" i="38"/>
  <c r="N28" i="38"/>
  <c r="J28" i="38"/>
  <c r="U27" i="38"/>
  <c r="T27" i="38"/>
  <c r="S27" i="38"/>
  <c r="P27" i="38"/>
  <c r="O27" i="38"/>
  <c r="Q27" i="38" s="1"/>
  <c r="N27" i="38"/>
  <c r="V27" i="38" s="1"/>
  <c r="J27" i="38"/>
  <c r="U26" i="38"/>
  <c r="T26" i="38"/>
  <c r="S26" i="38"/>
  <c r="O26" i="38"/>
  <c r="P26" i="38" s="1"/>
  <c r="N26" i="38"/>
  <c r="V26" i="38" s="1"/>
  <c r="J26" i="38"/>
  <c r="U25" i="38"/>
  <c r="T25" i="38"/>
  <c r="S25" i="38"/>
  <c r="O25" i="38"/>
  <c r="P25" i="38" s="1"/>
  <c r="N25" i="38"/>
  <c r="V25" i="38" s="1"/>
  <c r="J25" i="38"/>
  <c r="U24" i="38"/>
  <c r="T24" i="38"/>
  <c r="S24" i="38"/>
  <c r="O24" i="38"/>
  <c r="N24" i="38"/>
  <c r="J24" i="38"/>
  <c r="U23" i="38"/>
  <c r="T23" i="38"/>
  <c r="S23" i="38"/>
  <c r="P23" i="38"/>
  <c r="O23" i="38"/>
  <c r="Q23" i="38" s="1"/>
  <c r="N23" i="38"/>
  <c r="V23" i="38" s="1"/>
  <c r="J23" i="38"/>
  <c r="U22" i="38"/>
  <c r="T22" i="38"/>
  <c r="S22" i="38"/>
  <c r="O22" i="38"/>
  <c r="AA4" i="38" s="1"/>
  <c r="N22" i="38"/>
  <c r="V22" i="38" s="1"/>
  <c r="J22" i="38"/>
  <c r="U21" i="38"/>
  <c r="T21" i="38"/>
  <c r="S21" i="38"/>
  <c r="O21" i="38"/>
  <c r="P21" i="38" s="1"/>
  <c r="N21" i="38"/>
  <c r="V21" i="38" s="1"/>
  <c r="J21" i="38"/>
  <c r="U20" i="38"/>
  <c r="T20" i="38"/>
  <c r="S20" i="38"/>
  <c r="O20" i="38"/>
  <c r="N20" i="38"/>
  <c r="J20" i="38"/>
  <c r="U19" i="38"/>
  <c r="T19" i="38"/>
  <c r="S19" i="38"/>
  <c r="P19" i="38"/>
  <c r="R19" i="38" s="1"/>
  <c r="O19" i="38"/>
  <c r="Q19" i="38" s="1"/>
  <c r="N19" i="38"/>
  <c r="V19" i="38" s="1"/>
  <c r="J19" i="38"/>
  <c r="U18" i="38"/>
  <c r="T18" i="38"/>
  <c r="S18" i="38"/>
  <c r="O18" i="38"/>
  <c r="P18" i="38" s="1"/>
  <c r="N18" i="38"/>
  <c r="V18" i="38" s="1"/>
  <c r="J18" i="38"/>
  <c r="U17" i="38"/>
  <c r="T17" i="38"/>
  <c r="S17" i="38"/>
  <c r="O17" i="38"/>
  <c r="P17" i="38" s="1"/>
  <c r="N17" i="38"/>
  <c r="V17" i="38" s="1"/>
  <c r="J17" i="38"/>
  <c r="U16" i="38"/>
  <c r="T16" i="38"/>
  <c r="S16" i="38"/>
  <c r="O16" i="38"/>
  <c r="N16" i="38"/>
  <c r="Z4" i="38" s="1"/>
  <c r="J16" i="38"/>
  <c r="U15" i="38"/>
  <c r="T15" i="38"/>
  <c r="S15" i="38"/>
  <c r="P15" i="38"/>
  <c r="O15" i="38"/>
  <c r="Q15" i="38" s="1"/>
  <c r="N15" i="38"/>
  <c r="V15" i="38" s="1"/>
  <c r="J15" i="38"/>
  <c r="U14" i="38"/>
  <c r="T14" i="38"/>
  <c r="S14" i="38"/>
  <c r="O14" i="38"/>
  <c r="P14" i="38" s="1"/>
  <c r="N14" i="38"/>
  <c r="V14" i="38" s="1"/>
  <c r="J14" i="38"/>
  <c r="U13" i="38"/>
  <c r="T13" i="38"/>
  <c r="S13" i="38"/>
  <c r="O13" i="38"/>
  <c r="P13" i="38" s="1"/>
  <c r="N13" i="38"/>
  <c r="V13" i="38" s="1"/>
  <c r="J13" i="38"/>
  <c r="U12" i="38"/>
  <c r="T12" i="38"/>
  <c r="S12" i="38"/>
  <c r="O12" i="38"/>
  <c r="N12" i="38"/>
  <c r="V12" i="38" s="1"/>
  <c r="J12" i="38"/>
  <c r="U11" i="38"/>
  <c r="T11" i="38"/>
  <c r="S11" i="38"/>
  <c r="P11" i="38"/>
  <c r="O11" i="38"/>
  <c r="Q11" i="38" s="1"/>
  <c r="N11" i="38"/>
  <c r="V11" i="38" s="1"/>
  <c r="J11" i="38"/>
  <c r="U10" i="38"/>
  <c r="T10" i="38"/>
  <c r="S10" i="38"/>
  <c r="O10" i="38"/>
  <c r="P10" i="38" s="1"/>
  <c r="N10" i="38"/>
  <c r="V10" i="38" s="1"/>
  <c r="J10" i="38"/>
  <c r="U9" i="38"/>
  <c r="T9" i="38"/>
  <c r="S9" i="38"/>
  <c r="O9" i="38"/>
  <c r="P9" i="38" s="1"/>
  <c r="N9" i="38"/>
  <c r="V9" i="38" s="1"/>
  <c r="J9" i="38"/>
  <c r="U8" i="38"/>
  <c r="T8" i="38"/>
  <c r="S8" i="38"/>
  <c r="O8" i="38"/>
  <c r="N8" i="38"/>
  <c r="V8" i="38" s="1"/>
  <c r="J8" i="38"/>
  <c r="U7" i="38"/>
  <c r="T7" i="38"/>
  <c r="S7" i="38"/>
  <c r="P7" i="38"/>
  <c r="R7" i="38" s="1"/>
  <c r="O7" i="38"/>
  <c r="Q7" i="38" s="1"/>
  <c r="N7" i="38"/>
  <c r="V7" i="38" s="1"/>
  <c r="J7" i="38"/>
  <c r="U6" i="38"/>
  <c r="T6" i="38"/>
  <c r="S6" i="38"/>
  <c r="O6" i="38"/>
  <c r="P6" i="38" s="1"/>
  <c r="N6" i="38"/>
  <c r="V6" i="38" s="1"/>
  <c r="J6" i="38"/>
  <c r="U5" i="38"/>
  <c r="T5" i="38"/>
  <c r="T2" i="38" s="1"/>
  <c r="S5" i="38"/>
  <c r="O5" i="38"/>
  <c r="P5" i="38" s="1"/>
  <c r="N5" i="38"/>
  <c r="V5" i="38" s="1"/>
  <c r="J5" i="38"/>
  <c r="AE4" i="38"/>
  <c r="Y4" i="38"/>
  <c r="X4" i="38"/>
  <c r="U4" i="38"/>
  <c r="U2" i="38" s="1"/>
  <c r="T4" i="38"/>
  <c r="S4" i="38"/>
  <c r="O4" i="38"/>
  <c r="N4" i="38"/>
  <c r="V24" i="38" s="1"/>
  <c r="J4" i="38"/>
  <c r="J57" i="35"/>
  <c r="J56" i="35"/>
  <c r="J42" i="35"/>
  <c r="J55" i="35"/>
  <c r="J54" i="35"/>
  <c r="J53" i="35"/>
  <c r="J52" i="35"/>
  <c r="J51" i="35"/>
  <c r="J44" i="35"/>
  <c r="J50" i="35"/>
  <c r="J49" i="35"/>
  <c r="J48" i="35"/>
  <c r="J30" i="35"/>
  <c r="J40" i="35"/>
  <c r="J47" i="35"/>
  <c r="J32" i="35"/>
  <c r="J36" i="35"/>
  <c r="J24" i="35"/>
  <c r="J22" i="35"/>
  <c r="J45" i="35"/>
  <c r="J21" i="35"/>
  <c r="J39" i="35"/>
  <c r="J41" i="35"/>
  <c r="J46" i="35"/>
  <c r="J43" i="35"/>
  <c r="J28" i="35"/>
  <c r="J38" i="35"/>
  <c r="J31" i="35"/>
  <c r="J20" i="35"/>
  <c r="J14" i="35"/>
  <c r="J35" i="35"/>
  <c r="J37" i="35"/>
  <c r="J18" i="35"/>
  <c r="J26" i="35"/>
  <c r="J25" i="35"/>
  <c r="J34" i="35"/>
  <c r="J27" i="35"/>
  <c r="J23" i="35"/>
  <c r="J16" i="35"/>
  <c r="J19" i="35"/>
  <c r="J13" i="35"/>
  <c r="J29" i="35"/>
  <c r="J33" i="35"/>
  <c r="J17" i="35"/>
  <c r="J12" i="35"/>
  <c r="J11" i="35"/>
  <c r="J15" i="35"/>
  <c r="J10" i="35"/>
  <c r="J9" i="35"/>
  <c r="J8" i="35"/>
  <c r="J7" i="35"/>
  <c r="J6" i="35"/>
  <c r="J5" i="35"/>
  <c r="J4" i="35"/>
  <c r="S57" i="35"/>
  <c r="O57" i="35"/>
  <c r="P57" i="35" s="1"/>
  <c r="N57" i="35"/>
  <c r="S56" i="35"/>
  <c r="O56" i="35"/>
  <c r="P56" i="35" s="1"/>
  <c r="N56" i="35"/>
  <c r="S42" i="35"/>
  <c r="O42" i="35"/>
  <c r="N42" i="35"/>
  <c r="S55" i="35"/>
  <c r="O55" i="35"/>
  <c r="N55" i="35"/>
  <c r="S54" i="35"/>
  <c r="O54" i="35"/>
  <c r="P54" i="35" s="1"/>
  <c r="N54" i="35"/>
  <c r="S53" i="35"/>
  <c r="O53" i="35"/>
  <c r="P53" i="35" s="1"/>
  <c r="N53" i="35"/>
  <c r="S52" i="35"/>
  <c r="O52" i="35"/>
  <c r="N52" i="35"/>
  <c r="S51" i="35"/>
  <c r="O51" i="35"/>
  <c r="N51" i="35"/>
  <c r="S44" i="35"/>
  <c r="O44" i="35"/>
  <c r="P44" i="35" s="1"/>
  <c r="N44" i="35"/>
  <c r="S50" i="35"/>
  <c r="O50" i="35"/>
  <c r="P50" i="35" s="1"/>
  <c r="N50" i="35"/>
  <c r="S49" i="35"/>
  <c r="O49" i="35"/>
  <c r="N49" i="35"/>
  <c r="S48" i="35"/>
  <c r="O48" i="35"/>
  <c r="N48" i="35"/>
  <c r="U45" i="35"/>
  <c r="T45" i="35"/>
  <c r="S30" i="35"/>
  <c r="O30" i="35"/>
  <c r="N30" i="35"/>
  <c r="U44" i="35"/>
  <c r="T44" i="35"/>
  <c r="S40" i="35"/>
  <c r="O40" i="35"/>
  <c r="N40" i="35"/>
  <c r="U43" i="35"/>
  <c r="T43" i="35"/>
  <c r="S47" i="35"/>
  <c r="O47" i="35"/>
  <c r="N47" i="35"/>
  <c r="U42" i="35"/>
  <c r="T42" i="35"/>
  <c r="S32" i="35"/>
  <c r="O32" i="35"/>
  <c r="N32" i="35"/>
  <c r="U41" i="35"/>
  <c r="T41" i="35"/>
  <c r="S36" i="35"/>
  <c r="O36" i="35"/>
  <c r="N36" i="35"/>
  <c r="U40" i="35"/>
  <c r="T40" i="35"/>
  <c r="S24" i="35"/>
  <c r="O24" i="35"/>
  <c r="P24" i="35" s="1"/>
  <c r="N24" i="35"/>
  <c r="U39" i="35"/>
  <c r="T39" i="35"/>
  <c r="S22" i="35"/>
  <c r="O22" i="35"/>
  <c r="P22" i="35" s="1"/>
  <c r="N22" i="35"/>
  <c r="U38" i="35"/>
  <c r="T38" i="35"/>
  <c r="S45" i="35"/>
  <c r="O45" i="35"/>
  <c r="P45" i="35" s="1"/>
  <c r="N45" i="35"/>
  <c r="U37" i="35"/>
  <c r="T37" i="35"/>
  <c r="S21" i="35"/>
  <c r="O21" i="35"/>
  <c r="P21" i="35" s="1"/>
  <c r="N21" i="35"/>
  <c r="U36" i="35"/>
  <c r="T36" i="35"/>
  <c r="S39" i="35"/>
  <c r="O39" i="35"/>
  <c r="N39" i="35"/>
  <c r="U35" i="35"/>
  <c r="T35" i="35"/>
  <c r="S41" i="35"/>
  <c r="O41" i="35"/>
  <c r="P41" i="35" s="1"/>
  <c r="N41" i="35"/>
  <c r="U34" i="35"/>
  <c r="T34" i="35"/>
  <c r="S46" i="35"/>
  <c r="O46" i="35"/>
  <c r="P46" i="35" s="1"/>
  <c r="Q46" i="35" s="1"/>
  <c r="N46" i="35"/>
  <c r="U33" i="35"/>
  <c r="T33" i="35"/>
  <c r="S43" i="35"/>
  <c r="O43" i="35"/>
  <c r="N43" i="35"/>
  <c r="U32" i="35"/>
  <c r="T32" i="35"/>
  <c r="S28" i="35"/>
  <c r="O28" i="35"/>
  <c r="P28" i="35" s="1"/>
  <c r="N28" i="35"/>
  <c r="U31" i="35"/>
  <c r="T31" i="35"/>
  <c r="S38" i="35"/>
  <c r="O38" i="35"/>
  <c r="P38" i="35" s="1"/>
  <c r="N38" i="35"/>
  <c r="U30" i="35"/>
  <c r="T30" i="35"/>
  <c r="S31" i="35"/>
  <c r="O31" i="35"/>
  <c r="P31" i="35" s="1"/>
  <c r="N31" i="35"/>
  <c r="U29" i="35"/>
  <c r="T29" i="35"/>
  <c r="S20" i="35"/>
  <c r="O20" i="35"/>
  <c r="P20" i="35" s="1"/>
  <c r="N20" i="35"/>
  <c r="U28" i="35"/>
  <c r="T28" i="35"/>
  <c r="S14" i="35"/>
  <c r="O14" i="35"/>
  <c r="N14" i="35"/>
  <c r="U27" i="35"/>
  <c r="T27" i="35"/>
  <c r="S35" i="35"/>
  <c r="O35" i="35"/>
  <c r="P35" i="35" s="1"/>
  <c r="N35" i="35"/>
  <c r="U26" i="35"/>
  <c r="T26" i="35"/>
  <c r="S37" i="35"/>
  <c r="O37" i="35"/>
  <c r="N37" i="35"/>
  <c r="U25" i="35"/>
  <c r="T25" i="35"/>
  <c r="S18" i="35"/>
  <c r="O18" i="35"/>
  <c r="N18" i="35"/>
  <c r="U24" i="35"/>
  <c r="T24" i="35"/>
  <c r="S26" i="35"/>
  <c r="O26" i="35"/>
  <c r="P26" i="35" s="1"/>
  <c r="N26" i="35"/>
  <c r="U23" i="35"/>
  <c r="T23" i="35"/>
  <c r="S25" i="35"/>
  <c r="O25" i="35"/>
  <c r="P25" i="35" s="1"/>
  <c r="N25" i="35"/>
  <c r="U22" i="35"/>
  <c r="T22" i="35"/>
  <c r="S34" i="35"/>
  <c r="O34" i="35"/>
  <c r="N34" i="35"/>
  <c r="U21" i="35"/>
  <c r="T21" i="35"/>
  <c r="S27" i="35"/>
  <c r="O27" i="35"/>
  <c r="P27" i="35" s="1"/>
  <c r="N27" i="35"/>
  <c r="U20" i="35"/>
  <c r="T20" i="35"/>
  <c r="S23" i="35"/>
  <c r="O23" i="35"/>
  <c r="N23" i="35"/>
  <c r="U19" i="35"/>
  <c r="T19" i="35"/>
  <c r="S16" i="35"/>
  <c r="O16" i="35"/>
  <c r="N16" i="35"/>
  <c r="U18" i="35"/>
  <c r="T18" i="35"/>
  <c r="S19" i="35"/>
  <c r="O19" i="35"/>
  <c r="P19" i="35" s="1"/>
  <c r="N19" i="35"/>
  <c r="U17" i="35"/>
  <c r="T17" i="35"/>
  <c r="S13" i="35"/>
  <c r="O13" i="35"/>
  <c r="N13" i="35"/>
  <c r="U16" i="35"/>
  <c r="T16" i="35"/>
  <c r="S29" i="35"/>
  <c r="O29" i="35"/>
  <c r="N29" i="35"/>
  <c r="U15" i="35"/>
  <c r="T15" i="35"/>
  <c r="S33" i="35"/>
  <c r="O33" i="35"/>
  <c r="P33" i="35" s="1"/>
  <c r="N33" i="35"/>
  <c r="U14" i="35"/>
  <c r="T14" i="35"/>
  <c r="S17" i="35"/>
  <c r="O17" i="35"/>
  <c r="P17" i="35" s="1"/>
  <c r="Q17" i="35" s="1"/>
  <c r="R17" i="35" s="1"/>
  <c r="N17" i="35"/>
  <c r="U13" i="35"/>
  <c r="T13" i="35"/>
  <c r="S12" i="35"/>
  <c r="O12" i="35"/>
  <c r="P12" i="35" s="1"/>
  <c r="N12" i="35"/>
  <c r="U12" i="35"/>
  <c r="T12" i="35"/>
  <c r="S11" i="35"/>
  <c r="O11" i="35"/>
  <c r="N11" i="35"/>
  <c r="U11" i="35"/>
  <c r="T11" i="35"/>
  <c r="S15" i="35"/>
  <c r="O15" i="35"/>
  <c r="P15" i="35" s="1"/>
  <c r="N15" i="35"/>
  <c r="U10" i="35"/>
  <c r="T10" i="35"/>
  <c r="S10" i="35"/>
  <c r="P10" i="35"/>
  <c r="O10" i="35"/>
  <c r="N10" i="35"/>
  <c r="U9" i="35"/>
  <c r="T9" i="35"/>
  <c r="S9" i="35"/>
  <c r="O9" i="35"/>
  <c r="N9" i="35"/>
  <c r="U8" i="35"/>
  <c r="T8" i="35"/>
  <c r="S8" i="35"/>
  <c r="O8" i="35"/>
  <c r="N8" i="35"/>
  <c r="U7" i="35"/>
  <c r="T7" i="35"/>
  <c r="S7" i="35"/>
  <c r="O7" i="35"/>
  <c r="P7" i="35" s="1"/>
  <c r="N7" i="35"/>
  <c r="U6" i="35"/>
  <c r="T6" i="35"/>
  <c r="S6" i="35"/>
  <c r="O6" i="35"/>
  <c r="P6" i="35" s="1"/>
  <c r="Q6" i="35" s="1"/>
  <c r="R6" i="35" s="1"/>
  <c r="N6" i="35"/>
  <c r="U5" i="35"/>
  <c r="T5" i="35"/>
  <c r="S5" i="35"/>
  <c r="O5" i="35"/>
  <c r="P5" i="35" s="1"/>
  <c r="N5" i="35"/>
  <c r="U4" i="35"/>
  <c r="T4" i="35"/>
  <c r="S4" i="35"/>
  <c r="O4" i="35"/>
  <c r="N4" i="35"/>
  <c r="M58" i="32"/>
  <c r="R58" i="32"/>
  <c r="N58" i="32"/>
  <c r="O58" i="32"/>
  <c r="P58" i="32" s="1"/>
  <c r="AA4" i="32"/>
  <c r="AB4" i="32"/>
  <c r="AC4" i="32"/>
  <c r="AD4" i="32"/>
  <c r="X4" i="32"/>
  <c r="Y4" i="32"/>
  <c r="Z4" i="32"/>
  <c r="W4" i="32"/>
  <c r="M37" i="32"/>
  <c r="R37" i="32"/>
  <c r="N37" i="32"/>
  <c r="O37" i="32" s="1"/>
  <c r="M39" i="32"/>
  <c r="R39" i="32"/>
  <c r="N39" i="32"/>
  <c r="O39" i="32" s="1"/>
  <c r="M45" i="32"/>
  <c r="R45" i="32"/>
  <c r="N45" i="32"/>
  <c r="O45" i="32" s="1"/>
  <c r="R57" i="32"/>
  <c r="N57" i="32"/>
  <c r="M57" i="32"/>
  <c r="I57" i="32"/>
  <c r="R56" i="32"/>
  <c r="N56" i="32"/>
  <c r="M56" i="32"/>
  <c r="I56" i="32"/>
  <c r="R55" i="32"/>
  <c r="N55" i="32"/>
  <c r="M55" i="32"/>
  <c r="I55" i="32"/>
  <c r="R54" i="32"/>
  <c r="N54" i="32"/>
  <c r="M54" i="32"/>
  <c r="I54" i="32"/>
  <c r="R53" i="32"/>
  <c r="N53" i="32"/>
  <c r="M53" i="32"/>
  <c r="I53" i="32"/>
  <c r="R52" i="32"/>
  <c r="N52" i="32"/>
  <c r="O52" i="32" s="1"/>
  <c r="M52" i="32"/>
  <c r="I52" i="32"/>
  <c r="R51" i="32"/>
  <c r="N51" i="32"/>
  <c r="M51" i="32"/>
  <c r="I51" i="32"/>
  <c r="R50" i="32"/>
  <c r="N50" i="32"/>
  <c r="M50" i="32"/>
  <c r="I50" i="32"/>
  <c r="R49" i="32"/>
  <c r="N49" i="32"/>
  <c r="M49" i="32"/>
  <c r="I49" i="32"/>
  <c r="R48" i="32"/>
  <c r="N48" i="32"/>
  <c r="O48" i="32" s="1"/>
  <c r="M48" i="32"/>
  <c r="I48" i="32"/>
  <c r="R47" i="32"/>
  <c r="N47" i="32"/>
  <c r="M47" i="32"/>
  <c r="I47" i="32"/>
  <c r="R46" i="32"/>
  <c r="N46" i="32"/>
  <c r="M46" i="32"/>
  <c r="I46" i="32"/>
  <c r="T45" i="32"/>
  <c r="S45" i="32"/>
  <c r="I45" i="32"/>
  <c r="T44" i="32"/>
  <c r="S44" i="32"/>
  <c r="R44" i="32"/>
  <c r="N44" i="32"/>
  <c r="O44" i="32" s="1"/>
  <c r="M44" i="32"/>
  <c r="I44" i="32"/>
  <c r="T43" i="32"/>
  <c r="S43" i="32"/>
  <c r="R43" i="32"/>
  <c r="N43" i="32"/>
  <c r="M43" i="32"/>
  <c r="I43" i="32"/>
  <c r="T42" i="32"/>
  <c r="S42" i="32"/>
  <c r="R42" i="32"/>
  <c r="N42" i="32"/>
  <c r="M42" i="32"/>
  <c r="I42" i="32"/>
  <c r="T41" i="32"/>
  <c r="S41" i="32"/>
  <c r="R41" i="32"/>
  <c r="N41" i="32"/>
  <c r="O41" i="32" s="1"/>
  <c r="P41" i="32" s="1"/>
  <c r="M41" i="32"/>
  <c r="I41" i="32"/>
  <c r="T40" i="32"/>
  <c r="S40" i="32"/>
  <c r="R40" i="32"/>
  <c r="N40" i="32"/>
  <c r="O40" i="32" s="1"/>
  <c r="M40" i="32"/>
  <c r="I40" i="32"/>
  <c r="T39" i="32"/>
  <c r="S39" i="32"/>
  <c r="I39" i="32"/>
  <c r="T38" i="32"/>
  <c r="S38" i="32"/>
  <c r="R38" i="32"/>
  <c r="N38" i="32"/>
  <c r="O38" i="32" s="1"/>
  <c r="M38" i="32"/>
  <c r="I38" i="32"/>
  <c r="T37" i="32"/>
  <c r="S37" i="32"/>
  <c r="I37" i="32"/>
  <c r="T36" i="32"/>
  <c r="S36" i="32"/>
  <c r="R36" i="32"/>
  <c r="N36" i="32"/>
  <c r="O36" i="32" s="1"/>
  <c r="M36" i="32"/>
  <c r="I36" i="32"/>
  <c r="T35" i="32"/>
  <c r="S35" i="32"/>
  <c r="R35" i="32"/>
  <c r="N35" i="32"/>
  <c r="M35" i="32"/>
  <c r="I35" i="32"/>
  <c r="T34" i="32"/>
  <c r="S34" i="32"/>
  <c r="R34" i="32"/>
  <c r="N34" i="32"/>
  <c r="M34" i="32"/>
  <c r="I34" i="32"/>
  <c r="T33" i="32"/>
  <c r="S33" i="32"/>
  <c r="R33" i="32"/>
  <c r="N33" i="32"/>
  <c r="O33" i="32" s="1"/>
  <c r="M33" i="32"/>
  <c r="I33" i="32"/>
  <c r="T32" i="32"/>
  <c r="S32" i="32"/>
  <c r="R32" i="32"/>
  <c r="N32" i="32"/>
  <c r="O32" i="32" s="1"/>
  <c r="M32" i="32"/>
  <c r="I32" i="32"/>
  <c r="T31" i="32"/>
  <c r="S31" i="32"/>
  <c r="R31" i="32"/>
  <c r="N31" i="32"/>
  <c r="M31" i="32"/>
  <c r="I31" i="32"/>
  <c r="T30" i="32"/>
  <c r="S30" i="32"/>
  <c r="R30" i="32"/>
  <c r="N30" i="32"/>
  <c r="M30" i="32"/>
  <c r="I30" i="32"/>
  <c r="T29" i="32"/>
  <c r="S29" i="32"/>
  <c r="R29" i="32"/>
  <c r="N29" i="32"/>
  <c r="O29" i="32" s="1"/>
  <c r="M29" i="32"/>
  <c r="I29" i="32"/>
  <c r="T28" i="32"/>
  <c r="S28" i="32"/>
  <c r="R28" i="32"/>
  <c r="N28" i="32"/>
  <c r="O28" i="32" s="1"/>
  <c r="M28" i="32"/>
  <c r="I28" i="32"/>
  <c r="T27" i="32"/>
  <c r="S27" i="32"/>
  <c r="R27" i="32"/>
  <c r="N27" i="32"/>
  <c r="M27" i="32"/>
  <c r="I27" i="32"/>
  <c r="T26" i="32"/>
  <c r="S26" i="32"/>
  <c r="R26" i="32"/>
  <c r="N26" i="32"/>
  <c r="M26" i="32"/>
  <c r="I26" i="32"/>
  <c r="T25" i="32"/>
  <c r="S25" i="32"/>
  <c r="R25" i="32"/>
  <c r="N25" i="32"/>
  <c r="O25" i="32" s="1"/>
  <c r="M25" i="32"/>
  <c r="I25" i="32"/>
  <c r="T24" i="32"/>
  <c r="S24" i="32"/>
  <c r="R24" i="32"/>
  <c r="N24" i="32"/>
  <c r="M24" i="32"/>
  <c r="I24" i="32"/>
  <c r="T23" i="32"/>
  <c r="S23" i="32"/>
  <c r="R23" i="32"/>
  <c r="N23" i="32"/>
  <c r="M23" i="32"/>
  <c r="I23" i="32"/>
  <c r="T22" i="32"/>
  <c r="S22" i="32"/>
  <c r="R22" i="32"/>
  <c r="N22" i="32"/>
  <c r="M22" i="32"/>
  <c r="I22" i="32"/>
  <c r="T21" i="32"/>
  <c r="S21" i="32"/>
  <c r="R21" i="32"/>
  <c r="N21" i="32"/>
  <c r="O21" i="32" s="1"/>
  <c r="M21" i="32"/>
  <c r="I21" i="32"/>
  <c r="T20" i="32"/>
  <c r="S20" i="32"/>
  <c r="R20" i="32"/>
  <c r="N20" i="32"/>
  <c r="O20" i="32" s="1"/>
  <c r="M20" i="32"/>
  <c r="I20" i="32"/>
  <c r="T19" i="32"/>
  <c r="S19" i="32"/>
  <c r="R19" i="32"/>
  <c r="N19" i="32"/>
  <c r="M19" i="32"/>
  <c r="I19" i="32"/>
  <c r="T18" i="32"/>
  <c r="S18" i="32"/>
  <c r="R18" i="32"/>
  <c r="N18" i="32"/>
  <c r="M18" i="32"/>
  <c r="I18" i="32"/>
  <c r="T17" i="32"/>
  <c r="S17" i="32"/>
  <c r="R17" i="32"/>
  <c r="O17" i="32"/>
  <c r="N17" i="32"/>
  <c r="M17" i="32"/>
  <c r="I17" i="32"/>
  <c r="T16" i="32"/>
  <c r="S16" i="32"/>
  <c r="R16" i="32"/>
  <c r="N16" i="32"/>
  <c r="M16" i="32"/>
  <c r="I16" i="32"/>
  <c r="T15" i="32"/>
  <c r="S15" i="32"/>
  <c r="R15" i="32"/>
  <c r="N15" i="32"/>
  <c r="M15" i="32"/>
  <c r="I15" i="32"/>
  <c r="T14" i="32"/>
  <c r="S14" i="32"/>
  <c r="R14" i="32"/>
  <c r="N14" i="32"/>
  <c r="M14" i="32"/>
  <c r="I14" i="32"/>
  <c r="T13" i="32"/>
  <c r="S13" i="32"/>
  <c r="R13" i="32"/>
  <c r="N13" i="32"/>
  <c r="O13" i="32" s="1"/>
  <c r="M13" i="32"/>
  <c r="I13" i="32"/>
  <c r="T12" i="32"/>
  <c r="S12" i="32"/>
  <c r="R12" i="32"/>
  <c r="N12" i="32"/>
  <c r="O12" i="32" s="1"/>
  <c r="M12" i="32"/>
  <c r="I12" i="32"/>
  <c r="T11" i="32"/>
  <c r="S11" i="32"/>
  <c r="R11" i="32"/>
  <c r="N11" i="32"/>
  <c r="O11" i="32" s="1"/>
  <c r="M11" i="32"/>
  <c r="I11" i="32"/>
  <c r="T10" i="32"/>
  <c r="S10" i="32"/>
  <c r="R10" i="32"/>
  <c r="N10" i="32"/>
  <c r="O10" i="32" s="1"/>
  <c r="M10" i="32"/>
  <c r="I10" i="32"/>
  <c r="T9" i="32"/>
  <c r="S9" i="32"/>
  <c r="R9" i="32"/>
  <c r="N9" i="32"/>
  <c r="M9" i="32"/>
  <c r="I9" i="32"/>
  <c r="T8" i="32"/>
  <c r="S8" i="32"/>
  <c r="R8" i="32"/>
  <c r="N8" i="32"/>
  <c r="O8" i="32" s="1"/>
  <c r="M8" i="32"/>
  <c r="I8" i="32"/>
  <c r="T7" i="32"/>
  <c r="S7" i="32"/>
  <c r="R7" i="32"/>
  <c r="N7" i="32"/>
  <c r="O7" i="32" s="1"/>
  <c r="M7" i="32"/>
  <c r="I7" i="32"/>
  <c r="T6" i="32"/>
  <c r="S6" i="32"/>
  <c r="R6" i="32"/>
  <c r="O6" i="32"/>
  <c r="N6" i="32"/>
  <c r="M6" i="32"/>
  <c r="I6" i="32"/>
  <c r="T5" i="32"/>
  <c r="S5" i="32"/>
  <c r="R5" i="32"/>
  <c r="N5" i="32"/>
  <c r="M5" i="32"/>
  <c r="I5" i="32"/>
  <c r="T4" i="32"/>
  <c r="S4" i="32"/>
  <c r="R4" i="32"/>
  <c r="N4" i="32"/>
  <c r="M4" i="32"/>
  <c r="I4" i="32"/>
  <c r="I45" i="30"/>
  <c r="Y57" i="30"/>
  <c r="I39" i="30"/>
  <c r="Y56" i="30"/>
  <c r="I37" i="30"/>
  <c r="Y55" i="30"/>
  <c r="I57" i="30"/>
  <c r="I56" i="30"/>
  <c r="I55" i="30"/>
  <c r="I54" i="30"/>
  <c r="I53" i="30"/>
  <c r="I52" i="30"/>
  <c r="I51" i="30"/>
  <c r="I43" i="30"/>
  <c r="I50" i="30"/>
  <c r="I49" i="30"/>
  <c r="I48" i="30"/>
  <c r="I23" i="30"/>
  <c r="I33" i="30"/>
  <c r="I47" i="30"/>
  <c r="I19" i="30"/>
  <c r="I31" i="30"/>
  <c r="I46" i="30"/>
  <c r="I35" i="30"/>
  <c r="I32" i="30"/>
  <c r="I44" i="30"/>
  <c r="I22" i="30"/>
  <c r="I38" i="30"/>
  <c r="I41" i="30"/>
  <c r="I40" i="30"/>
  <c r="I21" i="30"/>
  <c r="I20" i="30"/>
  <c r="I29" i="30"/>
  <c r="I27" i="30"/>
  <c r="I28" i="30"/>
  <c r="I25" i="30"/>
  <c r="I17" i="30"/>
  <c r="I15" i="30"/>
  <c r="I30" i="30"/>
  <c r="I36" i="30"/>
  <c r="I18" i="30"/>
  <c r="I13" i="30"/>
  <c r="I26" i="30"/>
  <c r="I12" i="30"/>
  <c r="I24" i="30"/>
  <c r="I42" i="30"/>
  <c r="I16" i="30"/>
  <c r="I11" i="30"/>
  <c r="I14" i="30"/>
  <c r="I10" i="30"/>
  <c r="I34" i="30"/>
  <c r="I9" i="30"/>
  <c r="I8" i="30"/>
  <c r="I6" i="30"/>
  <c r="I7" i="30"/>
  <c r="I5" i="30"/>
  <c r="I4" i="30"/>
  <c r="M19" i="30"/>
  <c r="R19" i="30"/>
  <c r="N19" i="30"/>
  <c r="O19" i="30" s="1"/>
  <c r="Y54" i="30"/>
  <c r="Y53" i="30"/>
  <c r="V53" i="30"/>
  <c r="W53" i="30" s="1"/>
  <c r="R57" i="30"/>
  <c r="N57" i="30"/>
  <c r="M57" i="30"/>
  <c r="Y52" i="30"/>
  <c r="V52" i="30"/>
  <c r="W52" i="30" s="1"/>
  <c r="R56" i="30"/>
  <c r="N56" i="30"/>
  <c r="O56" i="30" s="1"/>
  <c r="M56" i="30"/>
  <c r="Y51" i="30"/>
  <c r="V51" i="30"/>
  <c r="W51" i="30" s="1"/>
  <c r="R55" i="30"/>
  <c r="N55" i="30"/>
  <c r="O55" i="30" s="1"/>
  <c r="M55" i="30"/>
  <c r="Y50" i="30"/>
  <c r="V50" i="30"/>
  <c r="W50" i="30" s="1"/>
  <c r="R54" i="30"/>
  <c r="N54" i="30"/>
  <c r="O54" i="30" s="1"/>
  <c r="M54" i="30"/>
  <c r="Y49" i="30"/>
  <c r="V49" i="30"/>
  <c r="W49" i="30" s="1"/>
  <c r="R53" i="30"/>
  <c r="N53" i="30"/>
  <c r="O53" i="30" s="1"/>
  <c r="M53" i="30"/>
  <c r="Y48" i="30"/>
  <c r="V48" i="30"/>
  <c r="W48" i="30" s="1"/>
  <c r="R52" i="30"/>
  <c r="N52" i="30"/>
  <c r="M52" i="30"/>
  <c r="Y47" i="30"/>
  <c r="V47" i="30"/>
  <c r="W47" i="30" s="1"/>
  <c r="R51" i="30"/>
  <c r="N51" i="30"/>
  <c r="O51" i="30" s="1"/>
  <c r="M51" i="30"/>
  <c r="Y46" i="30"/>
  <c r="V46" i="30"/>
  <c r="W46" i="30" s="1"/>
  <c r="R46" i="30"/>
  <c r="N46" i="30"/>
  <c r="O46" i="30" s="1"/>
  <c r="M46" i="30"/>
  <c r="Y45" i="30"/>
  <c r="V45" i="30"/>
  <c r="W45" i="30" s="1"/>
  <c r="T45" i="30"/>
  <c r="S45" i="30"/>
  <c r="R48" i="30"/>
  <c r="N48" i="30"/>
  <c r="O48" i="30" s="1"/>
  <c r="M48" i="30"/>
  <c r="Y44" i="30"/>
  <c r="V44" i="30"/>
  <c r="W44" i="30" s="1"/>
  <c r="T44" i="30"/>
  <c r="S44" i="30"/>
  <c r="R33" i="30"/>
  <c r="N33" i="30"/>
  <c r="O33" i="30" s="1"/>
  <c r="M33" i="30"/>
  <c r="Y43" i="30"/>
  <c r="V43" i="30"/>
  <c r="W43" i="30" s="1"/>
  <c r="T43" i="30"/>
  <c r="S43" i="30"/>
  <c r="R35" i="30"/>
  <c r="N35" i="30"/>
  <c r="O35" i="30" s="1"/>
  <c r="M35" i="30"/>
  <c r="Y42" i="30"/>
  <c r="V42" i="30"/>
  <c r="W42" i="30" s="1"/>
  <c r="T42" i="30"/>
  <c r="S42" i="30"/>
  <c r="R22" i="30"/>
  <c r="N22" i="30"/>
  <c r="O22" i="30" s="1"/>
  <c r="M22" i="30"/>
  <c r="Y41" i="30"/>
  <c r="V41" i="30"/>
  <c r="W41" i="30" s="1"/>
  <c r="T41" i="30"/>
  <c r="S41" i="30"/>
  <c r="R23" i="30"/>
  <c r="N23" i="30"/>
  <c r="O23" i="30" s="1"/>
  <c r="M23" i="30"/>
  <c r="Y40" i="30"/>
  <c r="V40" i="30"/>
  <c r="W40" i="30" s="1"/>
  <c r="T40" i="30"/>
  <c r="S40" i="30"/>
  <c r="R43" i="30"/>
  <c r="N43" i="30"/>
  <c r="O43" i="30" s="1"/>
  <c r="M43" i="30"/>
  <c r="Y39" i="30"/>
  <c r="V39" i="30"/>
  <c r="W39" i="30" s="1"/>
  <c r="T39" i="30"/>
  <c r="S39" i="30"/>
  <c r="R30" i="30"/>
  <c r="N30" i="30"/>
  <c r="O30" i="30" s="1"/>
  <c r="M30" i="30"/>
  <c r="Y38" i="30"/>
  <c r="V38" i="30"/>
  <c r="W38" i="30" s="1"/>
  <c r="T38" i="30"/>
  <c r="S38" i="30"/>
  <c r="R38" i="30"/>
  <c r="N38" i="30"/>
  <c r="O38" i="30" s="1"/>
  <c r="M38" i="30"/>
  <c r="Y37" i="30"/>
  <c r="V37" i="30"/>
  <c r="W37" i="30" s="1"/>
  <c r="T37" i="30"/>
  <c r="S37" i="30"/>
  <c r="R32" i="30"/>
  <c r="N32" i="30"/>
  <c r="O32" i="30" s="1"/>
  <c r="M32" i="30"/>
  <c r="Y36" i="30"/>
  <c r="V36" i="30"/>
  <c r="W36" i="30" s="1"/>
  <c r="T36" i="30"/>
  <c r="S36" i="30"/>
  <c r="R41" i="30"/>
  <c r="N41" i="30"/>
  <c r="O41" i="30" s="1"/>
  <c r="M41" i="30"/>
  <c r="Y35" i="30"/>
  <c r="V35" i="30"/>
  <c r="W35" i="30" s="1"/>
  <c r="T35" i="30"/>
  <c r="S35" i="30"/>
  <c r="R49" i="30"/>
  <c r="N49" i="30"/>
  <c r="O49" i="30" s="1"/>
  <c r="M49" i="30"/>
  <c r="Y34" i="30"/>
  <c r="V34" i="30"/>
  <c r="W34" i="30" s="1"/>
  <c r="T34" i="30"/>
  <c r="S34" i="30"/>
  <c r="R50" i="30"/>
  <c r="N50" i="30"/>
  <c r="O50" i="30" s="1"/>
  <c r="M50" i="30"/>
  <c r="Y33" i="30"/>
  <c r="V33" i="30"/>
  <c r="W33" i="30" s="1"/>
  <c r="T33" i="30"/>
  <c r="S33" i="30"/>
  <c r="R29" i="30"/>
  <c r="N29" i="30"/>
  <c r="O29" i="30" s="1"/>
  <c r="M29" i="30"/>
  <c r="Y32" i="30"/>
  <c r="V32" i="30"/>
  <c r="W32" i="30" s="1"/>
  <c r="T32" i="30"/>
  <c r="S32" i="30"/>
  <c r="R31" i="30"/>
  <c r="N31" i="30"/>
  <c r="O31" i="30" s="1"/>
  <c r="M31" i="30"/>
  <c r="Y31" i="30"/>
  <c r="V31" i="30"/>
  <c r="W31" i="30" s="1"/>
  <c r="T31" i="30"/>
  <c r="S31" i="30"/>
  <c r="R26" i="30"/>
  <c r="N26" i="30"/>
  <c r="O26" i="30" s="1"/>
  <c r="M26" i="30"/>
  <c r="Y30" i="30"/>
  <c r="V30" i="30"/>
  <c r="W30" i="30" s="1"/>
  <c r="T30" i="30"/>
  <c r="S30" i="30"/>
  <c r="R21" i="30"/>
  <c r="N21" i="30"/>
  <c r="O21" i="30" s="1"/>
  <c r="M21" i="30"/>
  <c r="Y29" i="30"/>
  <c r="V29" i="30"/>
  <c r="W29" i="30" s="1"/>
  <c r="T29" i="30"/>
  <c r="S29" i="30"/>
  <c r="R44" i="30"/>
  <c r="N44" i="30"/>
  <c r="O44" i="30" s="1"/>
  <c r="M44" i="30"/>
  <c r="Y28" i="30"/>
  <c r="V28" i="30"/>
  <c r="W28" i="30" s="1"/>
  <c r="T28" i="30"/>
  <c r="S28" i="30"/>
  <c r="R47" i="30"/>
  <c r="N47" i="30"/>
  <c r="O47" i="30" s="1"/>
  <c r="M47" i="30"/>
  <c r="Y27" i="30"/>
  <c r="V27" i="30"/>
  <c r="W27" i="30" s="1"/>
  <c r="T27" i="30"/>
  <c r="S27" i="30"/>
  <c r="R18" i="30"/>
  <c r="N18" i="30"/>
  <c r="O18" i="30" s="1"/>
  <c r="M18" i="30"/>
  <c r="Y26" i="30"/>
  <c r="V26" i="30"/>
  <c r="W26" i="30" s="1"/>
  <c r="T26" i="30"/>
  <c r="S26" i="30"/>
  <c r="R28" i="30"/>
  <c r="N28" i="30"/>
  <c r="O28" i="30" s="1"/>
  <c r="M28" i="30"/>
  <c r="Y25" i="30"/>
  <c r="V25" i="30"/>
  <c r="W25" i="30" s="1"/>
  <c r="T25" i="30"/>
  <c r="S25" i="30"/>
  <c r="R24" i="30"/>
  <c r="N24" i="30"/>
  <c r="O24" i="30" s="1"/>
  <c r="M24" i="30"/>
  <c r="Y24" i="30"/>
  <c r="V24" i="30"/>
  <c r="W24" i="30" s="1"/>
  <c r="T24" i="30"/>
  <c r="S24" i="30"/>
  <c r="R42" i="30"/>
  <c r="N42" i="30"/>
  <c r="O42" i="30" s="1"/>
  <c r="M42" i="30"/>
  <c r="Y23" i="30"/>
  <c r="V23" i="30"/>
  <c r="W23" i="30" s="1"/>
  <c r="T23" i="30"/>
  <c r="S23" i="30"/>
  <c r="R27" i="30"/>
  <c r="N27" i="30"/>
  <c r="O27" i="30" s="1"/>
  <c r="M27" i="30"/>
  <c r="Y22" i="30"/>
  <c r="V22" i="30"/>
  <c r="W22" i="30" s="1"/>
  <c r="T22" i="30"/>
  <c r="S22" i="30"/>
  <c r="R36" i="30"/>
  <c r="N36" i="30"/>
  <c r="O36" i="30" s="1"/>
  <c r="M36" i="30"/>
  <c r="Y21" i="30"/>
  <c r="V21" i="30"/>
  <c r="W21" i="30" s="1"/>
  <c r="T21" i="30"/>
  <c r="S21" i="30"/>
  <c r="R16" i="30"/>
  <c r="N16" i="30"/>
  <c r="O16" i="30" s="1"/>
  <c r="M16" i="30"/>
  <c r="Y20" i="30"/>
  <c r="V20" i="30"/>
  <c r="W20" i="30" s="1"/>
  <c r="T20" i="30"/>
  <c r="S20" i="30"/>
  <c r="R20" i="30"/>
  <c r="N20" i="30"/>
  <c r="O20" i="30" s="1"/>
  <c r="M20" i="30"/>
  <c r="Y19" i="30"/>
  <c r="V19" i="30"/>
  <c r="W19" i="30" s="1"/>
  <c r="T19" i="30"/>
  <c r="S19" i="30"/>
  <c r="R17" i="30"/>
  <c r="N17" i="30"/>
  <c r="O17" i="30" s="1"/>
  <c r="M17" i="30"/>
  <c r="Y18" i="30"/>
  <c r="V18" i="30"/>
  <c r="W18" i="30" s="1"/>
  <c r="T18" i="30"/>
  <c r="S18" i="30"/>
  <c r="R13" i="30"/>
  <c r="N13" i="30"/>
  <c r="O13" i="30" s="1"/>
  <c r="M13" i="30"/>
  <c r="Y17" i="30"/>
  <c r="V17" i="30"/>
  <c r="W17" i="30" s="1"/>
  <c r="T17" i="30"/>
  <c r="S17" i="30"/>
  <c r="R15" i="30"/>
  <c r="N15" i="30"/>
  <c r="O15" i="30" s="1"/>
  <c r="M15" i="30"/>
  <c r="Y16" i="30"/>
  <c r="V16" i="30"/>
  <c r="W16" i="30" s="1"/>
  <c r="T16" i="30"/>
  <c r="S16" i="30"/>
  <c r="R40" i="30"/>
  <c r="N40" i="30"/>
  <c r="O40" i="30" s="1"/>
  <c r="M40" i="30"/>
  <c r="Y15" i="30"/>
  <c r="V15" i="30"/>
  <c r="W15" i="30" s="1"/>
  <c r="T15" i="30"/>
  <c r="S15" i="30"/>
  <c r="R11" i="30"/>
  <c r="N11" i="30"/>
  <c r="O11" i="30" s="1"/>
  <c r="M11" i="30"/>
  <c r="Y14" i="30"/>
  <c r="V14" i="30"/>
  <c r="W14" i="30" s="1"/>
  <c r="T14" i="30"/>
  <c r="S14" i="30"/>
  <c r="R25" i="30"/>
  <c r="N25" i="30"/>
  <c r="O25" i="30" s="1"/>
  <c r="M25" i="30"/>
  <c r="Y13" i="30"/>
  <c r="V13" i="30"/>
  <c r="W13" i="30" s="1"/>
  <c r="T13" i="30"/>
  <c r="S13" i="30"/>
  <c r="R14" i="30"/>
  <c r="N14" i="30"/>
  <c r="O14" i="30" s="1"/>
  <c r="M14" i="30"/>
  <c r="Y12" i="30"/>
  <c r="V12" i="30"/>
  <c r="W12" i="30" s="1"/>
  <c r="T12" i="30"/>
  <c r="S12" i="30"/>
  <c r="R12" i="30"/>
  <c r="N12" i="30"/>
  <c r="O12" i="30" s="1"/>
  <c r="M12" i="30"/>
  <c r="Y11" i="30"/>
  <c r="V11" i="30"/>
  <c r="W11" i="30" s="1"/>
  <c r="T11" i="30"/>
  <c r="S11" i="30"/>
  <c r="R9" i="30"/>
  <c r="N9" i="30"/>
  <c r="O9" i="30" s="1"/>
  <c r="M9" i="30"/>
  <c r="Y10" i="30"/>
  <c r="V10" i="30"/>
  <c r="W10" i="30" s="1"/>
  <c r="T10" i="30"/>
  <c r="S10" i="30"/>
  <c r="R8" i="30"/>
  <c r="N8" i="30"/>
  <c r="O8" i="30" s="1"/>
  <c r="M8" i="30"/>
  <c r="Y9" i="30"/>
  <c r="V9" i="30"/>
  <c r="W9" i="30" s="1"/>
  <c r="T9" i="30"/>
  <c r="S9" i="30"/>
  <c r="R10" i="30"/>
  <c r="N10" i="30"/>
  <c r="M10" i="30"/>
  <c r="Y8" i="30"/>
  <c r="V8" i="30"/>
  <c r="W8" i="30" s="1"/>
  <c r="T8" i="30"/>
  <c r="S8" i="30"/>
  <c r="R6" i="30"/>
  <c r="N6" i="30"/>
  <c r="M6" i="30"/>
  <c r="Y7" i="30"/>
  <c r="V7" i="30"/>
  <c r="W7" i="30" s="1"/>
  <c r="T7" i="30"/>
  <c r="S7" i="30"/>
  <c r="R7" i="30"/>
  <c r="N7" i="30"/>
  <c r="O7" i="30" s="1"/>
  <c r="M7" i="30"/>
  <c r="Y6" i="30"/>
  <c r="V6" i="30"/>
  <c r="W6" i="30" s="1"/>
  <c r="T6" i="30"/>
  <c r="S6" i="30"/>
  <c r="R34" i="30"/>
  <c r="N34" i="30"/>
  <c r="O34" i="30" s="1"/>
  <c r="M34" i="30"/>
  <c r="Y5" i="30"/>
  <c r="V5" i="30"/>
  <c r="W5" i="30" s="1"/>
  <c r="T5" i="30"/>
  <c r="S5" i="30"/>
  <c r="R5" i="30"/>
  <c r="N5" i="30"/>
  <c r="M5" i="30"/>
  <c r="Z4" i="30" a="1"/>
  <c r="Y4" i="30"/>
  <c r="V4" i="30"/>
  <c r="W4" i="30" s="1"/>
  <c r="T4" i="30"/>
  <c r="S4" i="30"/>
  <c r="R4" i="30"/>
  <c r="N4" i="30"/>
  <c r="O4" i="30" s="1"/>
  <c r="M4" i="30"/>
  <c r="W5" i="26"/>
  <c r="W6" i="26"/>
  <c r="W7" i="26"/>
  <c r="W8" i="26"/>
  <c r="W9" i="26"/>
  <c r="W10" i="26"/>
  <c r="W11" i="26"/>
  <c r="W12" i="26"/>
  <c r="W13" i="26"/>
  <c r="W14" i="26"/>
  <c r="W15" i="26"/>
  <c r="W16" i="26"/>
  <c r="W17" i="26"/>
  <c r="W18" i="26"/>
  <c r="W19" i="26"/>
  <c r="W20" i="26"/>
  <c r="W21" i="26"/>
  <c r="W22" i="26"/>
  <c r="W23" i="26"/>
  <c r="W24" i="26"/>
  <c r="W25" i="26"/>
  <c r="W26" i="26"/>
  <c r="W27" i="26"/>
  <c r="W28" i="26"/>
  <c r="W29" i="26"/>
  <c r="W30" i="26"/>
  <c r="W31" i="26"/>
  <c r="W32" i="26"/>
  <c r="W33" i="26"/>
  <c r="W34" i="26"/>
  <c r="W35" i="26"/>
  <c r="W36" i="26"/>
  <c r="W37" i="26"/>
  <c r="W38" i="26"/>
  <c r="W39" i="26"/>
  <c r="W40" i="26"/>
  <c r="W41" i="26"/>
  <c r="W42" i="26"/>
  <c r="W43" i="26"/>
  <c r="W44" i="26"/>
  <c r="W45" i="26"/>
  <c r="W46" i="26"/>
  <c r="W47" i="26"/>
  <c r="W48" i="26"/>
  <c r="W49" i="26"/>
  <c r="W50" i="26"/>
  <c r="W51" i="26"/>
  <c r="W52" i="26"/>
  <c r="W53" i="26"/>
  <c r="W4" i="26"/>
  <c r="AA3" i="26"/>
  <c r="Z3" i="26"/>
  <c r="Y5" i="26"/>
  <c r="Y6" i="26"/>
  <c r="Y7" i="26"/>
  <c r="Y8" i="26"/>
  <c r="Y9" i="26"/>
  <c r="Y10" i="26"/>
  <c r="Y4" i="26"/>
  <c r="Y3" i="26" s="1"/>
  <c r="X4" i="26" a="1"/>
  <c r="X4" i="26"/>
  <c r="U46" i="26"/>
  <c r="U47" i="26"/>
  <c r="U48" i="26"/>
  <c r="U49" i="26"/>
  <c r="U50" i="26"/>
  <c r="U51" i="26"/>
  <c r="U52" i="26"/>
  <c r="U53" i="26"/>
  <c r="U5" i="26"/>
  <c r="U6" i="26"/>
  <c r="U7" i="26"/>
  <c r="U8" i="26"/>
  <c r="U9" i="26"/>
  <c r="U10" i="26"/>
  <c r="U11" i="26"/>
  <c r="U12" i="26"/>
  <c r="U13" i="26"/>
  <c r="U14" i="26"/>
  <c r="U15" i="26"/>
  <c r="U16" i="26"/>
  <c r="U17" i="26"/>
  <c r="U18" i="26"/>
  <c r="U19" i="26"/>
  <c r="U20" i="26"/>
  <c r="U21" i="26"/>
  <c r="U22" i="26"/>
  <c r="U23" i="26"/>
  <c r="U24" i="26"/>
  <c r="U25" i="26"/>
  <c r="U26" i="26"/>
  <c r="U27" i="26"/>
  <c r="U28" i="26"/>
  <c r="U29" i="26"/>
  <c r="U30" i="26"/>
  <c r="U31" i="26"/>
  <c r="U32" i="26"/>
  <c r="U33" i="26"/>
  <c r="U34" i="26"/>
  <c r="U35" i="26"/>
  <c r="U36" i="26"/>
  <c r="U37" i="26"/>
  <c r="U38" i="26"/>
  <c r="U39" i="26"/>
  <c r="U40" i="26"/>
  <c r="U41" i="26"/>
  <c r="U42" i="26"/>
  <c r="U43" i="26"/>
  <c r="U44" i="26"/>
  <c r="U45" i="26"/>
  <c r="U4" i="26"/>
  <c r="T46" i="26"/>
  <c r="T47" i="26"/>
  <c r="T48" i="26"/>
  <c r="T49" i="26"/>
  <c r="T50" i="26"/>
  <c r="T51" i="26"/>
  <c r="T52" i="26"/>
  <c r="T53" i="26"/>
  <c r="T5" i="26"/>
  <c r="T6" i="26"/>
  <c r="T7" i="26"/>
  <c r="T8" i="26"/>
  <c r="T9" i="26"/>
  <c r="T10" i="26"/>
  <c r="T11" i="26"/>
  <c r="T12" i="26"/>
  <c r="T13" i="26"/>
  <c r="T14" i="26"/>
  <c r="T15" i="26"/>
  <c r="T16" i="26"/>
  <c r="T17" i="26"/>
  <c r="T18" i="26"/>
  <c r="T19" i="26"/>
  <c r="T20" i="26"/>
  <c r="T21" i="26"/>
  <c r="T22" i="26"/>
  <c r="T23" i="26"/>
  <c r="T24" i="26"/>
  <c r="T25" i="26"/>
  <c r="T26" i="26"/>
  <c r="T27" i="26"/>
  <c r="T28" i="26"/>
  <c r="T29" i="26"/>
  <c r="T30" i="26"/>
  <c r="T31" i="26"/>
  <c r="T32" i="26"/>
  <c r="T33" i="26"/>
  <c r="T34" i="26"/>
  <c r="T35" i="26"/>
  <c r="T36" i="26"/>
  <c r="T37" i="26"/>
  <c r="T38" i="26"/>
  <c r="T39" i="26"/>
  <c r="T40" i="26"/>
  <c r="T41" i="26"/>
  <c r="T42" i="26"/>
  <c r="T43" i="26"/>
  <c r="T44" i="26"/>
  <c r="T45" i="26"/>
  <c r="T4" i="26"/>
  <c r="Q4" i="26"/>
  <c r="K4" i="26"/>
  <c r="K42" i="26"/>
  <c r="P42" i="26"/>
  <c r="L42" i="26"/>
  <c r="M42" i="26"/>
  <c r="N42" i="26"/>
  <c r="O42" i="26"/>
  <c r="K40" i="26"/>
  <c r="P40" i="26"/>
  <c r="L40" i="26"/>
  <c r="M40" i="26"/>
  <c r="N40" i="26"/>
  <c r="O40" i="26"/>
  <c r="K39" i="26"/>
  <c r="P39" i="26"/>
  <c r="L39" i="26"/>
  <c r="N39" i="26" s="1"/>
  <c r="M39" i="26"/>
  <c r="K38" i="26"/>
  <c r="P38" i="26"/>
  <c r="L38" i="26"/>
  <c r="N38" i="26" s="1"/>
  <c r="O38" i="26" s="1"/>
  <c r="M38" i="26"/>
  <c r="G45" i="26"/>
  <c r="G5" i="26"/>
  <c r="G6" i="26"/>
  <c r="G7" i="26"/>
  <c r="G8" i="26"/>
  <c r="G9" i="26"/>
  <c r="G10" i="26"/>
  <c r="G11" i="26"/>
  <c r="G12" i="26"/>
  <c r="G46" i="26"/>
  <c r="G47" i="26"/>
  <c r="G48" i="26"/>
  <c r="G49" i="26"/>
  <c r="G50" i="26"/>
  <c r="G51" i="26"/>
  <c r="G52" i="26"/>
  <c r="G53" i="26"/>
  <c r="G4" i="26"/>
  <c r="P53" i="26"/>
  <c r="L53" i="26"/>
  <c r="K53" i="26"/>
  <c r="P52" i="26"/>
  <c r="L52" i="26"/>
  <c r="M52" i="26" s="1"/>
  <c r="K52" i="26"/>
  <c r="P51" i="26"/>
  <c r="L51" i="26"/>
  <c r="K51" i="26"/>
  <c r="P50" i="26"/>
  <c r="L50" i="26"/>
  <c r="K50" i="26"/>
  <c r="R45" i="26"/>
  <c r="Q45" i="26"/>
  <c r="P49" i="26"/>
  <c r="L49" i="26"/>
  <c r="M49" i="26" s="1"/>
  <c r="K49" i="26"/>
  <c r="R44" i="26"/>
  <c r="Q44" i="26"/>
  <c r="P36" i="26"/>
  <c r="L36" i="26"/>
  <c r="M36" i="26" s="1"/>
  <c r="K36" i="26"/>
  <c r="R43" i="26"/>
  <c r="Q43" i="26"/>
  <c r="P45" i="26"/>
  <c r="L45" i="26"/>
  <c r="M45" i="26" s="1"/>
  <c r="K45" i="26"/>
  <c r="R42" i="26"/>
  <c r="Q42" i="26"/>
  <c r="P44" i="26"/>
  <c r="L44" i="26"/>
  <c r="M44" i="26" s="1"/>
  <c r="K44" i="26"/>
  <c r="R41" i="26"/>
  <c r="Q41" i="26"/>
  <c r="P34" i="26"/>
  <c r="L34" i="26"/>
  <c r="M34" i="26" s="1"/>
  <c r="K34" i="26"/>
  <c r="R40" i="26"/>
  <c r="Q40" i="26"/>
  <c r="P28" i="26"/>
  <c r="L28" i="26"/>
  <c r="M28" i="26" s="1"/>
  <c r="K28" i="26"/>
  <c r="R39" i="26"/>
  <c r="Q39" i="26"/>
  <c r="P37" i="26"/>
  <c r="L37" i="26"/>
  <c r="K37" i="26"/>
  <c r="R38" i="26"/>
  <c r="Q38" i="26"/>
  <c r="P22" i="26"/>
  <c r="L22" i="26"/>
  <c r="K22" i="26"/>
  <c r="R37" i="26"/>
  <c r="Q37" i="26"/>
  <c r="P35" i="26"/>
  <c r="L35" i="26"/>
  <c r="M35" i="26" s="1"/>
  <c r="N35" i="26" s="1"/>
  <c r="O35" i="26" s="1"/>
  <c r="K35" i="26"/>
  <c r="R36" i="26"/>
  <c r="Q36" i="26"/>
  <c r="P48" i="26"/>
  <c r="L48" i="26"/>
  <c r="K48" i="26"/>
  <c r="R35" i="26"/>
  <c r="Q35" i="26"/>
  <c r="P43" i="26"/>
  <c r="L43" i="26"/>
  <c r="M43" i="26" s="1"/>
  <c r="K43" i="26"/>
  <c r="R34" i="26"/>
  <c r="Q34" i="26"/>
  <c r="P47" i="26"/>
  <c r="L47" i="26"/>
  <c r="M47" i="26" s="1"/>
  <c r="K47" i="26"/>
  <c r="R33" i="26"/>
  <c r="Q33" i="26"/>
  <c r="P30" i="26"/>
  <c r="L30" i="26"/>
  <c r="M30" i="26" s="1"/>
  <c r="K30" i="26"/>
  <c r="R32" i="26"/>
  <c r="Q32" i="26"/>
  <c r="P29" i="26"/>
  <c r="L29" i="26"/>
  <c r="M29" i="26" s="1"/>
  <c r="K29" i="26"/>
  <c r="R31" i="26"/>
  <c r="Q31" i="26"/>
  <c r="P33" i="26"/>
  <c r="L33" i="26"/>
  <c r="K33" i="26"/>
  <c r="R30" i="26"/>
  <c r="Q30" i="26"/>
  <c r="P24" i="26"/>
  <c r="L24" i="26"/>
  <c r="K24" i="26"/>
  <c r="R29" i="26"/>
  <c r="Q29" i="26"/>
  <c r="P41" i="26"/>
  <c r="M41" i="26"/>
  <c r="N41" i="26" s="1"/>
  <c r="O41" i="26" s="1"/>
  <c r="L41" i="26"/>
  <c r="K41" i="26"/>
  <c r="R28" i="26"/>
  <c r="Q28" i="26"/>
  <c r="P20" i="26"/>
  <c r="M20" i="26"/>
  <c r="L20" i="26"/>
  <c r="K20" i="26"/>
  <c r="R27" i="26"/>
  <c r="Q27" i="26"/>
  <c r="P27" i="26"/>
  <c r="M27" i="26"/>
  <c r="L27" i="26"/>
  <c r="K27" i="26"/>
  <c r="R26" i="26"/>
  <c r="Q26" i="26"/>
  <c r="P46" i="26"/>
  <c r="L46" i="26"/>
  <c r="M46" i="26" s="1"/>
  <c r="K46" i="26"/>
  <c r="R25" i="26"/>
  <c r="Q25" i="26"/>
  <c r="P32" i="26"/>
  <c r="L32" i="26"/>
  <c r="M32" i="26" s="1"/>
  <c r="K32" i="26"/>
  <c r="R24" i="26"/>
  <c r="Q24" i="26"/>
  <c r="P26" i="26"/>
  <c r="L26" i="26"/>
  <c r="M26" i="26" s="1"/>
  <c r="K26" i="26"/>
  <c r="R23" i="26"/>
  <c r="Q23" i="26"/>
  <c r="P16" i="26"/>
  <c r="L16" i="26"/>
  <c r="K16" i="26"/>
  <c r="R22" i="26"/>
  <c r="Q22" i="26"/>
  <c r="P18" i="26"/>
  <c r="L18" i="26"/>
  <c r="M18" i="26" s="1"/>
  <c r="K18" i="26"/>
  <c r="R21" i="26"/>
  <c r="Q21" i="26"/>
  <c r="P31" i="26"/>
  <c r="L31" i="26"/>
  <c r="M31" i="26" s="1"/>
  <c r="K31" i="26"/>
  <c r="R20" i="26"/>
  <c r="Q20" i="26"/>
  <c r="P23" i="26"/>
  <c r="L23" i="26"/>
  <c r="M23" i="26" s="1"/>
  <c r="K23" i="26"/>
  <c r="R19" i="26"/>
  <c r="Q19" i="26"/>
  <c r="P15" i="26"/>
  <c r="L15" i="26"/>
  <c r="K15" i="26"/>
  <c r="R18" i="26"/>
  <c r="Q18" i="26"/>
  <c r="P21" i="26"/>
  <c r="L21" i="26"/>
  <c r="M21" i="26" s="1"/>
  <c r="K21" i="26"/>
  <c r="R17" i="26"/>
  <c r="Q17" i="26"/>
  <c r="P14" i="26"/>
  <c r="L14" i="26"/>
  <c r="K14" i="26"/>
  <c r="R16" i="26"/>
  <c r="Q16" i="26"/>
  <c r="P17" i="26"/>
  <c r="L17" i="26"/>
  <c r="M17" i="26" s="1"/>
  <c r="K17" i="26"/>
  <c r="R15" i="26"/>
  <c r="Q15" i="26"/>
  <c r="P12" i="26"/>
  <c r="L12" i="26"/>
  <c r="K12" i="26"/>
  <c r="R14" i="26"/>
  <c r="Q14" i="26"/>
  <c r="P11" i="26"/>
  <c r="L11" i="26"/>
  <c r="M11" i="26" s="1"/>
  <c r="K11" i="26"/>
  <c r="R13" i="26"/>
  <c r="Q13" i="26"/>
  <c r="P10" i="26"/>
  <c r="L10" i="26"/>
  <c r="M10" i="26" s="1"/>
  <c r="K10" i="26"/>
  <c r="R12" i="26"/>
  <c r="Q12" i="26"/>
  <c r="P19" i="26"/>
  <c r="L19" i="26"/>
  <c r="M19" i="26" s="1"/>
  <c r="K19" i="26"/>
  <c r="R11" i="26"/>
  <c r="Q11" i="26"/>
  <c r="P9" i="26"/>
  <c r="L9" i="26"/>
  <c r="K9" i="26"/>
  <c r="R10" i="26"/>
  <c r="Q10" i="26"/>
  <c r="P8" i="26"/>
  <c r="L8" i="26"/>
  <c r="M8" i="26" s="1"/>
  <c r="K8" i="26"/>
  <c r="R9" i="26"/>
  <c r="Q9" i="26"/>
  <c r="P25" i="26"/>
  <c r="L25" i="26"/>
  <c r="M25" i="26" s="1"/>
  <c r="K25" i="26"/>
  <c r="R8" i="26"/>
  <c r="Q8" i="26"/>
  <c r="P7" i="26"/>
  <c r="L7" i="26"/>
  <c r="M7" i="26" s="1"/>
  <c r="K7" i="26"/>
  <c r="R7" i="26"/>
  <c r="Q7" i="26"/>
  <c r="P6" i="26"/>
  <c r="L6" i="26"/>
  <c r="K6" i="26"/>
  <c r="R6" i="26"/>
  <c r="Q6" i="26"/>
  <c r="P13" i="26"/>
  <c r="L13" i="26"/>
  <c r="M13" i="26" s="1"/>
  <c r="K13" i="26"/>
  <c r="R5" i="26"/>
  <c r="Q5" i="26"/>
  <c r="P5" i="26"/>
  <c r="L5" i="26"/>
  <c r="K5" i="26"/>
  <c r="R4" i="26"/>
  <c r="R2" i="26" s="1"/>
  <c r="P4" i="26"/>
  <c r="L4" i="26"/>
  <c r="M4" i="26" s="1"/>
  <c r="W3" i="17"/>
  <c r="W5" i="17"/>
  <c r="W6" i="17"/>
  <c r="W7" i="17"/>
  <c r="W8" i="17"/>
  <c r="W9" i="17"/>
  <c r="W10" i="17"/>
  <c r="W11" i="17"/>
  <c r="W12" i="17"/>
  <c r="W13" i="17"/>
  <c r="W14" i="17"/>
  <c r="W15" i="17"/>
  <c r="W16" i="17"/>
  <c r="W17" i="17"/>
  <c r="W18" i="17"/>
  <c r="W19" i="17"/>
  <c r="W20" i="17"/>
  <c r="W21" i="17"/>
  <c r="W22" i="17"/>
  <c r="W23" i="17"/>
  <c r="W4" i="17"/>
  <c r="V4" i="17" a="1"/>
  <c r="V4" i="17" s="1"/>
  <c r="T5" i="17"/>
  <c r="T6" i="17"/>
  <c r="T7" i="17"/>
  <c r="T8" i="17"/>
  <c r="T9" i="17"/>
  <c r="T10" i="17"/>
  <c r="T11" i="17"/>
  <c r="T12" i="17"/>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 i="17"/>
  <c r="S5" i="17"/>
  <c r="S6" i="17"/>
  <c r="S7" i="17"/>
  <c r="S8" i="17"/>
  <c r="S9" i="17"/>
  <c r="S10" i="17"/>
  <c r="S11" i="17"/>
  <c r="S12" i="17"/>
  <c r="S13" i="17"/>
  <c r="S14" i="17"/>
  <c r="S15" i="17"/>
  <c r="S16" i="17"/>
  <c r="S17" i="17"/>
  <c r="S18" i="17"/>
  <c r="S19" i="17"/>
  <c r="S20" i="17"/>
  <c r="S21" i="17"/>
  <c r="S22" i="17"/>
  <c r="S23" i="17"/>
  <c r="S24" i="17"/>
  <c r="S25" i="17"/>
  <c r="S26" i="17"/>
  <c r="S27" i="17"/>
  <c r="S28" i="17"/>
  <c r="S29" i="17"/>
  <c r="S30" i="17"/>
  <c r="S31" i="17"/>
  <c r="S32" i="17"/>
  <c r="S33" i="17"/>
  <c r="S34" i="17"/>
  <c r="S35" i="17"/>
  <c r="S36" i="17"/>
  <c r="S37" i="17"/>
  <c r="S38" i="17"/>
  <c r="S39" i="17"/>
  <c r="S40" i="17"/>
  <c r="S41" i="17"/>
  <c r="S42" i="17"/>
  <c r="S43" i="17"/>
  <c r="S44" i="17"/>
  <c r="S4" i="17"/>
  <c r="J45" i="17"/>
  <c r="O45" i="17"/>
  <c r="K45" i="17"/>
  <c r="L45" i="17" s="1"/>
  <c r="F49" i="17"/>
  <c r="F48" i="17"/>
  <c r="F47" i="17"/>
  <c r="F46" i="17"/>
  <c r="F13" i="17"/>
  <c r="F12" i="17"/>
  <c r="F9" i="17"/>
  <c r="F11" i="17"/>
  <c r="F10" i="17"/>
  <c r="F8" i="17"/>
  <c r="F7" i="17"/>
  <c r="F6" i="17"/>
  <c r="F5" i="17"/>
  <c r="AB19" i="35" l="1"/>
  <c r="AB11" i="35"/>
  <c r="AA4" i="35"/>
  <c r="AB4" i="35" s="1"/>
  <c r="AB18" i="35"/>
  <c r="AB10" i="35"/>
  <c r="AB9" i="35"/>
  <c r="AB16" i="35"/>
  <c r="AB8" i="35"/>
  <c r="AB17" i="35"/>
  <c r="AB23" i="35"/>
  <c r="AB15" i="35"/>
  <c r="AB7" i="35"/>
  <c r="AB22" i="35"/>
  <c r="AB14" i="35"/>
  <c r="AB6" i="35"/>
  <c r="AB21" i="35"/>
  <c r="AB13" i="35"/>
  <c r="Q10" i="35"/>
  <c r="Q25" i="38"/>
  <c r="R25" i="38" s="1"/>
  <c r="Q34" i="38"/>
  <c r="R34" i="38" s="1"/>
  <c r="Q6" i="38"/>
  <c r="R6" i="38"/>
  <c r="R11" i="38"/>
  <c r="Q29" i="38"/>
  <c r="R29" i="38" s="1"/>
  <c r="Q38" i="38"/>
  <c r="R38" i="38" s="1"/>
  <c r="R43" i="38"/>
  <c r="Q4" i="38"/>
  <c r="Q10" i="38"/>
  <c r="R10" i="38"/>
  <c r="R15" i="38"/>
  <c r="R33" i="38"/>
  <c r="Q33" i="38"/>
  <c r="Q42" i="38"/>
  <c r="R42" i="38" s="1"/>
  <c r="R51" i="38"/>
  <c r="Q9" i="38"/>
  <c r="R9" i="38" s="1"/>
  <c r="R18" i="38"/>
  <c r="Q18" i="38"/>
  <c r="R23" i="38"/>
  <c r="Q32" i="38"/>
  <c r="Q41" i="38"/>
  <c r="R41" i="38" s="1"/>
  <c r="Q48" i="38"/>
  <c r="R48" i="38" s="1"/>
  <c r="R37" i="38"/>
  <c r="Q37" i="38"/>
  <c r="Q57" i="38"/>
  <c r="R57" i="38"/>
  <c r="Q13" i="38"/>
  <c r="R13" i="38" s="1"/>
  <c r="R27" i="38"/>
  <c r="R45" i="38"/>
  <c r="Q45" i="38"/>
  <c r="R17" i="38"/>
  <c r="Q17" i="38"/>
  <c r="Q26" i="38"/>
  <c r="R26" i="38" s="1"/>
  <c r="R31" i="38"/>
  <c r="R52" i="38"/>
  <c r="Q52" i="38"/>
  <c r="Q54" i="38"/>
  <c r="Q5" i="38"/>
  <c r="R5" i="38" s="1"/>
  <c r="Q14" i="38"/>
  <c r="R14" i="38" s="1"/>
  <c r="Q46" i="38"/>
  <c r="Q12" i="38"/>
  <c r="R21" i="38"/>
  <c r="Q21" i="38"/>
  <c r="R30" i="38"/>
  <c r="Q30" i="38"/>
  <c r="Q44" i="38"/>
  <c r="R56" i="38"/>
  <c r="Q56" i="38"/>
  <c r="V4" i="38"/>
  <c r="V2" i="38" s="1"/>
  <c r="V20" i="38"/>
  <c r="V28" i="38"/>
  <c r="V9" i="35"/>
  <c r="P22" i="38"/>
  <c r="P46" i="38"/>
  <c r="Q47" i="38"/>
  <c r="R47" i="38" s="1"/>
  <c r="P54" i="38"/>
  <c r="Q55" i="38"/>
  <c r="R55" i="38" s="1"/>
  <c r="V44" i="38"/>
  <c r="P53" i="38"/>
  <c r="P58" i="38"/>
  <c r="P4" i="38"/>
  <c r="P8" i="38"/>
  <c r="P12" i="38"/>
  <c r="P16" i="38"/>
  <c r="P20" i="38"/>
  <c r="P24" i="38"/>
  <c r="P28" i="38"/>
  <c r="Q28" i="38" s="1"/>
  <c r="P32" i="38"/>
  <c r="P36" i="38"/>
  <c r="P40" i="38"/>
  <c r="P44" i="38"/>
  <c r="P50" i="38"/>
  <c r="Q50" i="38" s="1"/>
  <c r="V16" i="38"/>
  <c r="U2" i="35"/>
  <c r="Q19" i="35"/>
  <c r="R19" i="35" s="1"/>
  <c r="V39" i="35"/>
  <c r="T2" i="35"/>
  <c r="V7" i="35"/>
  <c r="V10" i="35"/>
  <c r="Q15" i="35"/>
  <c r="V17" i="35"/>
  <c r="P37" i="35"/>
  <c r="R15" i="35"/>
  <c r="V27" i="35"/>
  <c r="V30" i="35"/>
  <c r="R46" i="35"/>
  <c r="V37" i="35"/>
  <c r="V40" i="35"/>
  <c r="V44" i="35"/>
  <c r="V6" i="35"/>
  <c r="R10" i="35"/>
  <c r="V13" i="35"/>
  <c r="V16" i="35"/>
  <c r="V20" i="35"/>
  <c r="V23" i="35"/>
  <c r="V26" i="35"/>
  <c r="Q35" i="35"/>
  <c r="Q31" i="35"/>
  <c r="R31" i="35" s="1"/>
  <c r="V33" i="35"/>
  <c r="V29" i="35"/>
  <c r="V36" i="35"/>
  <c r="V4" i="35"/>
  <c r="V5" i="35"/>
  <c r="V8" i="35"/>
  <c r="V12" i="35"/>
  <c r="V15" i="35"/>
  <c r="V18" i="35"/>
  <c r="V25" i="35"/>
  <c r="P47" i="35"/>
  <c r="Q47" i="35" s="1"/>
  <c r="R47" i="35" s="1"/>
  <c r="V43" i="35"/>
  <c r="P29" i="35"/>
  <c r="Q29" i="35" s="1"/>
  <c r="V22" i="35"/>
  <c r="V32" i="35"/>
  <c r="P16" i="35"/>
  <c r="P34" i="35"/>
  <c r="Q34" i="35" s="1"/>
  <c r="R34" i="35" s="1"/>
  <c r="V35" i="35"/>
  <c r="V38" i="35"/>
  <c r="P32" i="35"/>
  <c r="V45" i="35"/>
  <c r="V19" i="35"/>
  <c r="P8" i="35"/>
  <c r="Q8" i="35" s="1"/>
  <c r="V11" i="35"/>
  <c r="V14" i="35"/>
  <c r="V21" i="35"/>
  <c r="V24" i="35"/>
  <c r="V28" i="35"/>
  <c r="V31" i="35"/>
  <c r="V34" i="35"/>
  <c r="Q41" i="35"/>
  <c r="R41" i="35" s="1"/>
  <c r="Q45" i="35"/>
  <c r="R45" i="35" s="1"/>
  <c r="V41" i="35"/>
  <c r="Q27" i="35"/>
  <c r="R27" i="35" s="1"/>
  <c r="Q38" i="35"/>
  <c r="R38" i="35" s="1"/>
  <c r="Q7" i="35"/>
  <c r="R7" i="35" s="1"/>
  <c r="Q54" i="35"/>
  <c r="R54" i="35" s="1"/>
  <c r="Q21" i="35"/>
  <c r="R21" i="35" s="1"/>
  <c r="Q50" i="35"/>
  <c r="R50" i="35" s="1"/>
  <c r="Q56" i="35"/>
  <c r="R56" i="35" s="1"/>
  <c r="Q12" i="35"/>
  <c r="R12" i="35" s="1"/>
  <c r="Q25" i="35"/>
  <c r="R25" i="35" s="1"/>
  <c r="R35" i="35"/>
  <c r="Q20" i="35"/>
  <c r="R20" i="35" s="1"/>
  <c r="Q22" i="35"/>
  <c r="Q44" i="35"/>
  <c r="R44" i="35" s="1"/>
  <c r="Q57" i="35"/>
  <c r="R57" i="35" s="1"/>
  <c r="Q5" i="35"/>
  <c r="R5" i="35" s="1"/>
  <c r="Q33" i="35"/>
  <c r="R33" i="35" s="1"/>
  <c r="Q53" i="35"/>
  <c r="R53" i="35" s="1"/>
  <c r="P9" i="35"/>
  <c r="Q9" i="35" s="1"/>
  <c r="P13" i="35"/>
  <c r="Q13" i="35" s="1"/>
  <c r="Q26" i="35"/>
  <c r="R26" i="35" s="1"/>
  <c r="P18" i="35"/>
  <c r="Q18" i="35" s="1"/>
  <c r="Q28" i="35"/>
  <c r="R28" i="35" s="1"/>
  <c r="P43" i="35"/>
  <c r="Q43" i="35" s="1"/>
  <c r="Q24" i="35"/>
  <c r="R24" i="35" s="1"/>
  <c r="P36" i="35"/>
  <c r="Q36" i="35" s="1"/>
  <c r="V42" i="35"/>
  <c r="P4" i="35"/>
  <c r="Q4" i="35" s="1"/>
  <c r="P11" i="35"/>
  <c r="P23" i="35"/>
  <c r="P14" i="35"/>
  <c r="Q14" i="35" s="1"/>
  <c r="P39" i="35"/>
  <c r="Q39" i="35" s="1"/>
  <c r="P40" i="35"/>
  <c r="P49" i="35"/>
  <c r="P52" i="35"/>
  <c r="P42" i="35"/>
  <c r="Q42" i="35" s="1"/>
  <c r="P30" i="35"/>
  <c r="P48" i="35"/>
  <c r="Q48" i="35" s="1"/>
  <c r="P51" i="35"/>
  <c r="Q51" i="35" s="1"/>
  <c r="P55" i="35"/>
  <c r="Q58" i="32"/>
  <c r="O16" i="32"/>
  <c r="P16" i="32" s="1"/>
  <c r="Q16" i="32" s="1"/>
  <c r="U8" i="32"/>
  <c r="U34" i="32"/>
  <c r="U23" i="32"/>
  <c r="O24" i="32"/>
  <c r="P24" i="32" s="1"/>
  <c r="Q24" i="32" s="1"/>
  <c r="U7" i="32"/>
  <c r="U12" i="32"/>
  <c r="U18" i="32"/>
  <c r="U28" i="32"/>
  <c r="U6" i="32"/>
  <c r="U16" i="32"/>
  <c r="U17" i="32"/>
  <c r="U22" i="32"/>
  <c r="U32" i="32"/>
  <c r="U42" i="32"/>
  <c r="U11" i="32"/>
  <c r="U21" i="32"/>
  <c r="U27" i="32"/>
  <c r="U36" i="32"/>
  <c r="U41" i="32"/>
  <c r="U5" i="32"/>
  <c r="U10" i="32"/>
  <c r="U15" i="32"/>
  <c r="U31" i="32"/>
  <c r="U38" i="32"/>
  <c r="U19" i="32"/>
  <c r="U33" i="32"/>
  <c r="U39" i="32"/>
  <c r="U20" i="32"/>
  <c r="U26" i="32"/>
  <c r="U35" i="32"/>
  <c r="U40" i="32"/>
  <c r="U13" i="32"/>
  <c r="U29" i="32"/>
  <c r="U43" i="32"/>
  <c r="U9" i="32"/>
  <c r="U14" i="32"/>
  <c r="U24" i="32"/>
  <c r="U25" i="32"/>
  <c r="U30" i="32"/>
  <c r="U44" i="32"/>
  <c r="P37" i="32"/>
  <c r="Q37" i="32" s="1"/>
  <c r="P39" i="32"/>
  <c r="Q39" i="32" s="1"/>
  <c r="T2" i="32"/>
  <c r="S2" i="32"/>
  <c r="P45" i="32"/>
  <c r="Q45" i="32" s="1"/>
  <c r="P32" i="32"/>
  <c r="Q32" i="32" s="1"/>
  <c r="P36" i="32"/>
  <c r="Q36" i="32" s="1"/>
  <c r="P12" i="32"/>
  <c r="Q12" i="32" s="1"/>
  <c r="P7" i="32"/>
  <c r="Q7" i="32" s="1"/>
  <c r="P40" i="32"/>
  <c r="Q40" i="32" s="1"/>
  <c r="P23" i="32"/>
  <c r="P48" i="32"/>
  <c r="Q48" i="32" s="1"/>
  <c r="P52" i="32"/>
  <c r="Q52" i="32" s="1"/>
  <c r="P28" i="32"/>
  <c r="Q28" i="32" s="1"/>
  <c r="P44" i="32"/>
  <c r="Q44" i="32" s="1"/>
  <c r="P11" i="32"/>
  <c r="Q11" i="32" s="1"/>
  <c r="Q21" i="32"/>
  <c r="P20" i="32"/>
  <c r="Q20" i="32" s="1"/>
  <c r="P38" i="32"/>
  <c r="Q38" i="32" s="1"/>
  <c r="P6" i="32"/>
  <c r="Q6" i="32" s="1"/>
  <c r="P10" i="32"/>
  <c r="Q10" i="32" s="1"/>
  <c r="O18" i="32"/>
  <c r="P18" i="32" s="1"/>
  <c r="P21" i="32"/>
  <c r="P29" i="32"/>
  <c r="Q29" i="32" s="1"/>
  <c r="O49" i="32"/>
  <c r="P49" i="32" s="1"/>
  <c r="O53" i="32"/>
  <c r="U37" i="32"/>
  <c r="P13" i="32"/>
  <c r="Q13" i="32" s="1"/>
  <c r="O26" i="32"/>
  <c r="O34" i="32"/>
  <c r="P34" i="32" s="1"/>
  <c r="O4" i="32"/>
  <c r="P4" i="32" s="1"/>
  <c r="O5" i="32"/>
  <c r="P5" i="32" s="1"/>
  <c r="O9" i="32"/>
  <c r="P9" i="32" s="1"/>
  <c r="O15" i="32"/>
  <c r="P15" i="32" s="1"/>
  <c r="O23" i="32"/>
  <c r="O31" i="32"/>
  <c r="P31" i="32" s="1"/>
  <c r="Q41" i="32"/>
  <c r="O43" i="32"/>
  <c r="P43" i="32" s="1"/>
  <c r="U4" i="32"/>
  <c r="O46" i="32"/>
  <c r="O50" i="32"/>
  <c r="O54" i="32"/>
  <c r="O55" i="32"/>
  <c r="P55" i="32" s="1"/>
  <c r="O56" i="32"/>
  <c r="P56" i="32" s="1"/>
  <c r="O57" i="32"/>
  <c r="P57" i="32" s="1"/>
  <c r="U45" i="32"/>
  <c r="P8" i="32"/>
  <c r="Q8" i="32" s="1"/>
  <c r="O14" i="32"/>
  <c r="P17" i="32"/>
  <c r="Q17" i="32" s="1"/>
  <c r="O22" i="32"/>
  <c r="P25" i="32"/>
  <c r="Q25" i="32" s="1"/>
  <c r="O30" i="32"/>
  <c r="P30" i="32" s="1"/>
  <c r="P33" i="32"/>
  <c r="Q33" i="32" s="1"/>
  <c r="O42" i="32"/>
  <c r="P42" i="32" s="1"/>
  <c r="O47" i="32"/>
  <c r="O51" i="32"/>
  <c r="O19" i="32"/>
  <c r="P19" i="32" s="1"/>
  <c r="O27" i="32"/>
  <c r="P27" i="32" s="1"/>
  <c r="O35" i="32"/>
  <c r="P35" i="32" s="1"/>
  <c r="P4" i="30"/>
  <c r="P19" i="30"/>
  <c r="Q19" i="30" s="1"/>
  <c r="AA5" i="30"/>
  <c r="U4" i="30"/>
  <c r="AA8" i="30"/>
  <c r="U7" i="30"/>
  <c r="U9" i="30"/>
  <c r="O52" i="30"/>
  <c r="P52" i="30" s="1"/>
  <c r="Q52" i="30" s="1"/>
  <c r="U5" i="30"/>
  <c r="P8" i="30"/>
  <c r="Q8" i="30" s="1"/>
  <c r="P56" i="30"/>
  <c r="Q56" i="30" s="1"/>
  <c r="T2" i="30"/>
  <c r="U35" i="30"/>
  <c r="U43" i="30"/>
  <c r="U6" i="30"/>
  <c r="U8" i="30"/>
  <c r="U12" i="30"/>
  <c r="P13" i="30"/>
  <c r="Q13" i="30" s="1"/>
  <c r="U20" i="30"/>
  <c r="P28" i="30"/>
  <c r="Q28" i="30" s="1"/>
  <c r="U28" i="30"/>
  <c r="P50" i="30"/>
  <c r="Q50" i="30" s="1"/>
  <c r="U36" i="30"/>
  <c r="P22" i="30"/>
  <c r="Q22" i="30" s="1"/>
  <c r="U44" i="30"/>
  <c r="U27" i="30"/>
  <c r="S2" i="30"/>
  <c r="P34" i="30"/>
  <c r="Q34" i="30" s="1"/>
  <c r="P7" i="30"/>
  <c r="Q7" i="30" s="1"/>
  <c r="U13" i="30"/>
  <c r="U21" i="30"/>
  <c r="U29" i="30"/>
  <c r="U37" i="30"/>
  <c r="U45" i="30"/>
  <c r="U10" i="30"/>
  <c r="P12" i="30"/>
  <c r="Q12" i="30" s="1"/>
  <c r="U14" i="30"/>
  <c r="P20" i="30"/>
  <c r="Q20" i="30" s="1"/>
  <c r="U22" i="30"/>
  <c r="P47" i="30"/>
  <c r="Q47" i="30" s="1"/>
  <c r="U30" i="30"/>
  <c r="P41" i="30"/>
  <c r="Q41" i="30" s="1"/>
  <c r="U38" i="30"/>
  <c r="P33" i="30"/>
  <c r="Q33" i="30" s="1"/>
  <c r="U15" i="30"/>
  <c r="U23" i="30"/>
  <c r="U31" i="30"/>
  <c r="U39" i="30"/>
  <c r="U11" i="30"/>
  <c r="U19" i="30"/>
  <c r="P25" i="30"/>
  <c r="Q25" i="30" s="1"/>
  <c r="U16" i="30"/>
  <c r="P36" i="30"/>
  <c r="Q36" i="30" s="1"/>
  <c r="U24" i="30"/>
  <c r="P21" i="30"/>
  <c r="Q21" i="30" s="1"/>
  <c r="U32" i="30"/>
  <c r="P38" i="30"/>
  <c r="Q38" i="30" s="1"/>
  <c r="U40" i="30"/>
  <c r="U17" i="30"/>
  <c r="U25" i="30"/>
  <c r="U33" i="30"/>
  <c r="U41" i="30"/>
  <c r="P53" i="30"/>
  <c r="Q53" i="30" s="1"/>
  <c r="Q4" i="30"/>
  <c r="P40" i="30"/>
  <c r="Q40" i="30" s="1"/>
  <c r="U18" i="30"/>
  <c r="P42" i="30"/>
  <c r="Q42" i="30" s="1"/>
  <c r="U26" i="30"/>
  <c r="P31" i="30"/>
  <c r="Q31" i="30" s="1"/>
  <c r="U34" i="30"/>
  <c r="P43" i="30"/>
  <c r="Q43" i="30" s="1"/>
  <c r="U42" i="30"/>
  <c r="AA10" i="30"/>
  <c r="P46" i="30"/>
  <c r="Q46" i="30" s="1"/>
  <c r="Z4" i="30"/>
  <c r="AA4" i="30" s="1"/>
  <c r="AA7" i="30"/>
  <c r="O10" i="30"/>
  <c r="P10" i="30" s="1"/>
  <c r="P51" i="30"/>
  <c r="Q51" i="30" s="1"/>
  <c r="AA9" i="30"/>
  <c r="AA6" i="30"/>
  <c r="O6" i="30"/>
  <c r="P9" i="30"/>
  <c r="Q9" i="30" s="1"/>
  <c r="P14" i="30"/>
  <c r="Q14" i="30" s="1"/>
  <c r="P11" i="30"/>
  <c r="Q11" i="30" s="1"/>
  <c r="P15" i="30"/>
  <c r="Q15" i="30" s="1"/>
  <c r="P17" i="30"/>
  <c r="Q17" i="30" s="1"/>
  <c r="P16" i="30"/>
  <c r="Q16" i="30" s="1"/>
  <c r="P27" i="30"/>
  <c r="Q27" i="30" s="1"/>
  <c r="P24" i="30"/>
  <c r="Q24" i="30" s="1"/>
  <c r="P18" i="30"/>
  <c r="Q18" i="30" s="1"/>
  <c r="P44" i="30"/>
  <c r="Q44" i="30" s="1"/>
  <c r="P26" i="30"/>
  <c r="Q26" i="30" s="1"/>
  <c r="P29" i="30"/>
  <c r="Q29" i="30" s="1"/>
  <c r="P49" i="30"/>
  <c r="Q49" i="30" s="1"/>
  <c r="P32" i="30"/>
  <c r="Q32" i="30" s="1"/>
  <c r="P30" i="30"/>
  <c r="Q30" i="30" s="1"/>
  <c r="P23" i="30"/>
  <c r="Q23" i="30" s="1"/>
  <c r="P35" i="30"/>
  <c r="Q35" i="30" s="1"/>
  <c r="P48" i="30"/>
  <c r="Q48" i="30" s="1"/>
  <c r="P54" i="30"/>
  <c r="Q54" i="30" s="1"/>
  <c r="O5" i="30"/>
  <c r="P55" i="30"/>
  <c r="Q55" i="30" s="1"/>
  <c r="O57" i="30"/>
  <c r="P57" i="30" s="1"/>
  <c r="O39" i="26"/>
  <c r="S8" i="26"/>
  <c r="S12" i="26"/>
  <c r="S20" i="26"/>
  <c r="S4" i="26"/>
  <c r="N10" i="26"/>
  <c r="N31" i="26"/>
  <c r="O31" i="26" s="1"/>
  <c r="N20" i="26"/>
  <c r="O20" i="26" s="1"/>
  <c r="N52" i="26"/>
  <c r="O10" i="26"/>
  <c r="S19" i="26"/>
  <c r="Q2" i="26"/>
  <c r="S7" i="26"/>
  <c r="S11" i="26"/>
  <c r="S18" i="26"/>
  <c r="M15" i="26"/>
  <c r="N15" i="26" s="1"/>
  <c r="S25" i="26"/>
  <c r="S32" i="26"/>
  <c r="S39" i="26"/>
  <c r="S43" i="26"/>
  <c r="S44" i="26"/>
  <c r="S45" i="26"/>
  <c r="N36" i="26"/>
  <c r="O36" i="26" s="1"/>
  <c r="N49" i="26"/>
  <c r="O49" i="26" s="1"/>
  <c r="S26" i="26"/>
  <c r="S33" i="26"/>
  <c r="S40" i="26"/>
  <c r="S6" i="26"/>
  <c r="S10" i="26"/>
  <c r="S15" i="26"/>
  <c r="S16" i="26"/>
  <c r="M14" i="26"/>
  <c r="N14" i="26" s="1"/>
  <c r="O14" i="26" s="1"/>
  <c r="S23" i="26"/>
  <c r="S24" i="26"/>
  <c r="S31" i="26"/>
  <c r="S35" i="26"/>
  <c r="S36" i="26"/>
  <c r="S37" i="26"/>
  <c r="S38" i="26"/>
  <c r="S42" i="26"/>
  <c r="S21" i="26"/>
  <c r="S13" i="26"/>
  <c r="S14" i="26"/>
  <c r="M12" i="26"/>
  <c r="S22" i="26"/>
  <c r="M16" i="26"/>
  <c r="N16" i="26" s="1"/>
  <c r="S27" i="26"/>
  <c r="S28" i="26"/>
  <c r="S29" i="26"/>
  <c r="S30" i="26"/>
  <c r="S34" i="26"/>
  <c r="M48" i="26"/>
  <c r="S41" i="26"/>
  <c r="N21" i="26"/>
  <c r="O21" i="26" s="1"/>
  <c r="N29" i="26"/>
  <c r="O29" i="26"/>
  <c r="N13" i="26"/>
  <c r="O13" i="26" s="1"/>
  <c r="N8" i="26"/>
  <c r="O8" i="26" s="1"/>
  <c r="N17" i="26"/>
  <c r="O17" i="26" s="1"/>
  <c r="N26" i="26"/>
  <c r="O26" i="26" s="1"/>
  <c r="N44" i="26"/>
  <c r="O44" i="26" s="1"/>
  <c r="N11" i="26"/>
  <c r="O11" i="26" s="1"/>
  <c r="N18" i="26"/>
  <c r="O18" i="26" s="1"/>
  <c r="N47" i="26"/>
  <c r="O47" i="26" s="1"/>
  <c r="O52" i="26"/>
  <c r="N4" i="26"/>
  <c r="O4" i="26" s="1"/>
  <c r="N7" i="26"/>
  <c r="O7" i="26" s="1"/>
  <c r="N19" i="26"/>
  <c r="O19" i="26" s="1"/>
  <c r="N23" i="26"/>
  <c r="O23" i="26" s="1"/>
  <c r="N46" i="26"/>
  <c r="O46" i="26" s="1"/>
  <c r="N28" i="26"/>
  <c r="O28" i="26" s="1"/>
  <c r="S9" i="26"/>
  <c r="M22" i="26"/>
  <c r="N22" i="26" s="1"/>
  <c r="M6" i="26"/>
  <c r="N34" i="26"/>
  <c r="O34" i="26" s="1"/>
  <c r="N25" i="26"/>
  <c r="O25" i="26" s="1"/>
  <c r="M33" i="26"/>
  <c r="N33" i="26" s="1"/>
  <c r="M37" i="26"/>
  <c r="N37" i="26" s="1"/>
  <c r="S17" i="26"/>
  <c r="N27" i="26"/>
  <c r="O27" i="26" s="1"/>
  <c r="M5" i="26"/>
  <c r="N5" i="26" s="1"/>
  <c r="M9" i="26"/>
  <c r="N9" i="26" s="1"/>
  <c r="N32" i="26"/>
  <c r="O32" i="26" s="1"/>
  <c r="N30" i="26"/>
  <c r="O30" i="26" s="1"/>
  <c r="M51" i="26"/>
  <c r="N51" i="26" s="1"/>
  <c r="S5" i="26"/>
  <c r="M24" i="26"/>
  <c r="N43" i="26"/>
  <c r="O43" i="26" s="1"/>
  <c r="M50" i="26"/>
  <c r="N50" i="26" s="1"/>
  <c r="M53" i="26"/>
  <c r="N45" i="26"/>
  <c r="O45" i="26" s="1"/>
  <c r="M45" i="17"/>
  <c r="N45" i="17" s="1"/>
  <c r="R4" i="38" l="1"/>
  <c r="R46" i="38"/>
  <c r="Q40" i="38"/>
  <c r="R40" i="38" s="1"/>
  <c r="R8" i="38"/>
  <c r="R32" i="38"/>
  <c r="R58" i="38"/>
  <c r="Q22" i="38"/>
  <c r="AB4" i="38"/>
  <c r="R22" i="38"/>
  <c r="R28" i="38"/>
  <c r="Q36" i="38"/>
  <c r="R36" i="38" s="1"/>
  <c r="Q24" i="38"/>
  <c r="R24" i="38" s="1"/>
  <c r="Q58" i="38"/>
  <c r="R50" i="38"/>
  <c r="R16" i="38"/>
  <c r="Q53" i="38"/>
  <c r="R53" i="38" s="1"/>
  <c r="R44" i="38"/>
  <c r="R12" i="38"/>
  <c r="R54" i="38"/>
  <c r="Q8" i="38"/>
  <c r="Q20" i="38"/>
  <c r="R20" i="38" s="1"/>
  <c r="Q16" i="38"/>
  <c r="R22" i="35"/>
  <c r="R8" i="35"/>
  <c r="Q16" i="35"/>
  <c r="R16" i="35" s="1"/>
  <c r="R29" i="35"/>
  <c r="Q32" i="35"/>
  <c r="R32" i="35" s="1"/>
  <c r="V2" i="35"/>
  <c r="Q37" i="35"/>
  <c r="R37" i="35" s="1"/>
  <c r="R18" i="35"/>
  <c r="R4" i="35"/>
  <c r="Q52" i="35"/>
  <c r="R52" i="35" s="1"/>
  <c r="R9" i="35"/>
  <c r="Q49" i="35"/>
  <c r="R49" i="35" s="1"/>
  <c r="Q11" i="35"/>
  <c r="R11" i="35" s="1"/>
  <c r="R42" i="35"/>
  <c r="R36" i="35"/>
  <c r="R51" i="35"/>
  <c r="R39" i="35"/>
  <c r="R43" i="35"/>
  <c r="Q30" i="35"/>
  <c r="R30" i="35" s="1"/>
  <c r="Q40" i="35"/>
  <c r="R40" i="35" s="1"/>
  <c r="R13" i="35"/>
  <c r="R48" i="35"/>
  <c r="R14" i="35"/>
  <c r="Q55" i="35"/>
  <c r="R55" i="35" s="1"/>
  <c r="Q23" i="35"/>
  <c r="R23" i="35" s="1"/>
  <c r="U2" i="32"/>
  <c r="P54" i="32"/>
  <c r="Q54" i="32" s="1"/>
  <c r="P26" i="32"/>
  <c r="Q26" i="32" s="1"/>
  <c r="Q51" i="32"/>
  <c r="Q23" i="32"/>
  <c r="P51" i="32"/>
  <c r="Q34" i="32"/>
  <c r="Q31" i="32"/>
  <c r="Q15" i="32"/>
  <c r="P46" i="32"/>
  <c r="Q46" i="32" s="1"/>
  <c r="P50" i="32"/>
  <c r="Q50" i="32" s="1"/>
  <c r="Q49" i="32"/>
  <c r="P47" i="32"/>
  <c r="Q47" i="32" s="1"/>
  <c r="Q55" i="32"/>
  <c r="Q18" i="32"/>
  <c r="Q35" i="32"/>
  <c r="Q5" i="32"/>
  <c r="P14" i="32"/>
  <c r="Q14" i="32" s="1"/>
  <c r="Q42" i="32"/>
  <c r="Q9" i="32"/>
  <c r="Q27" i="32"/>
  <c r="Q30" i="32"/>
  <c r="Q57" i="32"/>
  <c r="Q19" i="32"/>
  <c r="Q56" i="32"/>
  <c r="Q43" i="32"/>
  <c r="Q4" i="32"/>
  <c r="P22" i="32"/>
  <c r="Q22" i="32" s="1"/>
  <c r="P53" i="32"/>
  <c r="Q53" i="32" s="1"/>
  <c r="AA3" i="30"/>
  <c r="AB3" i="30" s="1"/>
  <c r="AC3" i="30" s="1"/>
  <c r="U2" i="30"/>
  <c r="P6" i="30"/>
  <c r="Q6" i="30" s="1"/>
  <c r="Q57" i="30"/>
  <c r="Q10" i="30"/>
  <c r="P5" i="30"/>
  <c r="Q5" i="30" s="1"/>
  <c r="S2" i="26"/>
  <c r="O15" i="26"/>
  <c r="N48" i="26"/>
  <c r="O48" i="26" s="1"/>
  <c r="O16" i="26"/>
  <c r="N12" i="26"/>
  <c r="O12" i="26" s="1"/>
  <c r="N24" i="26"/>
  <c r="O24" i="26" s="1"/>
  <c r="O50" i="26"/>
  <c r="O37" i="26"/>
  <c r="O33" i="26"/>
  <c r="O51" i="26"/>
  <c r="O9" i="26"/>
  <c r="O5" i="26"/>
  <c r="O22" i="26"/>
  <c r="N6" i="26"/>
  <c r="O6" i="26" s="1"/>
  <c r="N53" i="26"/>
  <c r="O53" i="26" s="1"/>
  <c r="F4" i="17"/>
  <c r="O49" i="17"/>
  <c r="K49" i="17"/>
  <c r="J49" i="17"/>
  <c r="O43" i="17"/>
  <c r="K43" i="17"/>
  <c r="J43" i="17"/>
  <c r="O42" i="17"/>
  <c r="K42" i="17"/>
  <c r="L42" i="17" s="1"/>
  <c r="J42" i="17"/>
  <c r="Q45" i="17"/>
  <c r="P45" i="17"/>
  <c r="O33" i="17"/>
  <c r="K33" i="17"/>
  <c r="L33" i="17" s="1"/>
  <c r="J33" i="17"/>
  <c r="Q44" i="17"/>
  <c r="P44" i="17"/>
  <c r="O48" i="17"/>
  <c r="K48" i="17"/>
  <c r="L48" i="17" s="1"/>
  <c r="J48" i="17"/>
  <c r="Q43" i="17"/>
  <c r="P43" i="17"/>
  <c r="O47" i="17"/>
  <c r="K47" i="17"/>
  <c r="J47" i="17"/>
  <c r="Q42" i="17"/>
  <c r="P42" i="17"/>
  <c r="O37" i="17"/>
  <c r="K37" i="17"/>
  <c r="L37" i="17" s="1"/>
  <c r="J37" i="17"/>
  <c r="Q41" i="17"/>
  <c r="P41" i="17"/>
  <c r="O41" i="17"/>
  <c r="K41" i="17"/>
  <c r="J41" i="17"/>
  <c r="Q40" i="17"/>
  <c r="P40" i="17"/>
  <c r="O40" i="17"/>
  <c r="K40" i="17"/>
  <c r="L40" i="17" s="1"/>
  <c r="J40" i="17"/>
  <c r="Q39" i="17"/>
  <c r="P39" i="17"/>
  <c r="O29" i="17"/>
  <c r="K29" i="17"/>
  <c r="L29" i="17" s="1"/>
  <c r="J29" i="17"/>
  <c r="Q38" i="17"/>
  <c r="P38" i="17"/>
  <c r="O36" i="17"/>
  <c r="K36" i="17"/>
  <c r="L36" i="17" s="1"/>
  <c r="J36" i="17"/>
  <c r="Q37" i="17"/>
  <c r="P37" i="17"/>
  <c r="O46" i="17"/>
  <c r="K46" i="17"/>
  <c r="J46" i="17"/>
  <c r="Q36" i="17"/>
  <c r="P36" i="17"/>
  <c r="O39" i="17"/>
  <c r="K39" i="17"/>
  <c r="L39" i="17" s="1"/>
  <c r="J39" i="17"/>
  <c r="Q35" i="17"/>
  <c r="P35" i="17"/>
  <c r="O38" i="17"/>
  <c r="K38" i="17"/>
  <c r="J38" i="17"/>
  <c r="Q34" i="17"/>
  <c r="P34" i="17"/>
  <c r="O28" i="17"/>
  <c r="K28" i="17"/>
  <c r="L28" i="17" s="1"/>
  <c r="J28" i="17"/>
  <c r="Q33" i="17"/>
  <c r="P33" i="17"/>
  <c r="O35" i="17"/>
  <c r="K35" i="17"/>
  <c r="L35" i="17" s="1"/>
  <c r="J35" i="17"/>
  <c r="Q32" i="17"/>
  <c r="P32" i="17"/>
  <c r="O32" i="17"/>
  <c r="K32" i="17"/>
  <c r="L32" i="17" s="1"/>
  <c r="J32" i="17"/>
  <c r="Q31" i="17"/>
  <c r="P31" i="17"/>
  <c r="O31" i="17"/>
  <c r="L31" i="17"/>
  <c r="K31" i="17"/>
  <c r="J31" i="17"/>
  <c r="Q30" i="17"/>
  <c r="P30" i="17"/>
  <c r="O19" i="17"/>
  <c r="K19" i="17"/>
  <c r="L19" i="17" s="1"/>
  <c r="J19" i="17"/>
  <c r="Q29" i="17"/>
  <c r="P29" i="17"/>
  <c r="O34" i="17"/>
  <c r="L34" i="17"/>
  <c r="K34" i="17"/>
  <c r="J34" i="17"/>
  <c r="Q28" i="17"/>
  <c r="P28" i="17"/>
  <c r="O44" i="17"/>
  <c r="K44" i="17"/>
  <c r="L44" i="17" s="1"/>
  <c r="J44" i="17"/>
  <c r="Q27" i="17"/>
  <c r="P27" i="17"/>
  <c r="O25" i="17"/>
  <c r="K25" i="17"/>
  <c r="J25" i="17"/>
  <c r="Q26" i="17"/>
  <c r="P26" i="17"/>
  <c r="O30" i="17"/>
  <c r="K30" i="17"/>
  <c r="J30" i="17"/>
  <c r="Q25" i="17"/>
  <c r="P25" i="17"/>
  <c r="O23" i="17"/>
  <c r="K23" i="17"/>
  <c r="L23" i="17" s="1"/>
  <c r="J23" i="17"/>
  <c r="Q24" i="17"/>
  <c r="P24" i="17"/>
  <c r="O22" i="17"/>
  <c r="K22" i="17"/>
  <c r="L22" i="17" s="1"/>
  <c r="J22" i="17"/>
  <c r="Q23" i="17"/>
  <c r="P23" i="17"/>
  <c r="O21" i="17"/>
  <c r="K21" i="17"/>
  <c r="J21" i="17"/>
  <c r="Q22" i="17"/>
  <c r="P22" i="17"/>
  <c r="O24" i="17"/>
  <c r="K24" i="17"/>
  <c r="L24" i="17" s="1"/>
  <c r="J24" i="17"/>
  <c r="Q21" i="17"/>
  <c r="P21" i="17"/>
  <c r="O13" i="17"/>
  <c r="K13" i="17"/>
  <c r="J13" i="17"/>
  <c r="Q20" i="17"/>
  <c r="P20" i="17"/>
  <c r="O20" i="17"/>
  <c r="K20" i="17"/>
  <c r="L20" i="17" s="1"/>
  <c r="J20" i="17"/>
  <c r="Q19" i="17"/>
  <c r="P19" i="17"/>
  <c r="O27" i="17"/>
  <c r="K27" i="17"/>
  <c r="J27" i="17"/>
  <c r="Q18" i="17"/>
  <c r="P18" i="17"/>
  <c r="O18" i="17"/>
  <c r="K18" i="17"/>
  <c r="L18" i="17" s="1"/>
  <c r="J18" i="17"/>
  <c r="Q17" i="17"/>
  <c r="P17" i="17"/>
  <c r="O12" i="17"/>
  <c r="L12" i="17"/>
  <c r="K12" i="17"/>
  <c r="J12" i="17"/>
  <c r="Q16" i="17"/>
  <c r="P16" i="17"/>
  <c r="O26" i="17"/>
  <c r="K26" i="17"/>
  <c r="L26" i="17" s="1"/>
  <c r="J26" i="17"/>
  <c r="Q15" i="17"/>
  <c r="P15" i="17"/>
  <c r="O9" i="17"/>
  <c r="K9" i="17"/>
  <c r="L9" i="17" s="1"/>
  <c r="J9" i="17"/>
  <c r="Q14" i="17"/>
  <c r="P14" i="17"/>
  <c r="O11" i="17"/>
  <c r="K11" i="17"/>
  <c r="L11" i="17" s="1"/>
  <c r="J11" i="17"/>
  <c r="Q13" i="17"/>
  <c r="P13" i="17"/>
  <c r="O17" i="17"/>
  <c r="L17" i="17"/>
  <c r="K17" i="17"/>
  <c r="J17" i="17"/>
  <c r="Q12" i="17"/>
  <c r="P12" i="17"/>
  <c r="O15" i="17"/>
  <c r="K15" i="17"/>
  <c r="L15" i="17" s="1"/>
  <c r="J15" i="17"/>
  <c r="Q11" i="17"/>
  <c r="P11" i="17"/>
  <c r="O10" i="17"/>
  <c r="K10" i="17"/>
  <c r="J10" i="17"/>
  <c r="Q10" i="17"/>
  <c r="P10" i="17"/>
  <c r="O14" i="17"/>
  <c r="K14" i="17"/>
  <c r="L14" i="17" s="1"/>
  <c r="J14" i="17"/>
  <c r="Q9" i="17"/>
  <c r="P9" i="17"/>
  <c r="O8" i="17"/>
  <c r="K8" i="17"/>
  <c r="L8" i="17" s="1"/>
  <c r="J8" i="17"/>
  <c r="Q8" i="17"/>
  <c r="P8" i="17"/>
  <c r="O7" i="17"/>
  <c r="K7" i="17"/>
  <c r="L7" i="17" s="1"/>
  <c r="J7" i="17"/>
  <c r="Q7" i="17"/>
  <c r="P7" i="17"/>
  <c r="O16" i="17"/>
  <c r="K16" i="17"/>
  <c r="L16" i="17" s="1"/>
  <c r="J16" i="17"/>
  <c r="Q6" i="17"/>
  <c r="P6" i="17"/>
  <c r="O6" i="17"/>
  <c r="K6" i="17"/>
  <c r="L6" i="17" s="1"/>
  <c r="J6" i="17"/>
  <c r="Q5" i="17"/>
  <c r="P5" i="17"/>
  <c r="O5" i="17"/>
  <c r="K5" i="17"/>
  <c r="J5" i="17"/>
  <c r="Q4" i="17"/>
  <c r="P4" i="17"/>
  <c r="O4" i="17"/>
  <c r="K4" i="17"/>
  <c r="L4" i="17" s="1"/>
  <c r="J4" i="17"/>
  <c r="Q2" i="14"/>
  <c r="P2" i="14"/>
  <c r="O2" i="14"/>
  <c r="Q45" i="14"/>
  <c r="Q44" i="14"/>
  <c r="Q43" i="14"/>
  <c r="Q42" i="14"/>
  <c r="Q41" i="14"/>
  <c r="Q40" i="14"/>
  <c r="Q39" i="14"/>
  <c r="Q38" i="14"/>
  <c r="Q37" i="14"/>
  <c r="Q36" i="14"/>
  <c r="Q35" i="14"/>
  <c r="Q34" i="14"/>
  <c r="Q33" i="14"/>
  <c r="Q32" i="14"/>
  <c r="Q31" i="14"/>
  <c r="Q30" i="14"/>
  <c r="Q29" i="14"/>
  <c r="Q28" i="14"/>
  <c r="Q27" i="14"/>
  <c r="Q26" i="14"/>
  <c r="Q25" i="14"/>
  <c r="Q24" i="14"/>
  <c r="Q23" i="14"/>
  <c r="Q22" i="14"/>
  <c r="Q21" i="14"/>
  <c r="Q20" i="14"/>
  <c r="Q19" i="14"/>
  <c r="Q18" i="14"/>
  <c r="Q17" i="14"/>
  <c r="Q16" i="14"/>
  <c r="Q15" i="14"/>
  <c r="Q14" i="14"/>
  <c r="Q13" i="14"/>
  <c r="Q12" i="14"/>
  <c r="Q11" i="14"/>
  <c r="Q10" i="14"/>
  <c r="Q9" i="14"/>
  <c r="Q8" i="14"/>
  <c r="Q7" i="14"/>
  <c r="Q6" i="14"/>
  <c r="Q5" i="14"/>
  <c r="Q4" i="14"/>
  <c r="P45" i="14"/>
  <c r="P44" i="14"/>
  <c r="P43" i="14"/>
  <c r="P42" i="14"/>
  <c r="P41" i="14"/>
  <c r="P40" i="14"/>
  <c r="P39" i="14"/>
  <c r="P38" i="14"/>
  <c r="P37" i="14"/>
  <c r="P36" i="14"/>
  <c r="P35" i="14"/>
  <c r="P34" i="14"/>
  <c r="P33" i="14"/>
  <c r="P32" i="14"/>
  <c r="P31" i="14"/>
  <c r="P30" i="14"/>
  <c r="P29" i="14"/>
  <c r="P28" i="14"/>
  <c r="P27" i="14"/>
  <c r="P26" i="14"/>
  <c r="P25" i="14"/>
  <c r="P24" i="14"/>
  <c r="P23" i="14"/>
  <c r="P22" i="14"/>
  <c r="P21" i="14"/>
  <c r="P20" i="14"/>
  <c r="P19" i="14"/>
  <c r="P18" i="14"/>
  <c r="P17" i="14"/>
  <c r="P16" i="14"/>
  <c r="P15" i="14"/>
  <c r="P14" i="14"/>
  <c r="P13" i="14"/>
  <c r="P12" i="14"/>
  <c r="P11" i="14"/>
  <c r="P10" i="14"/>
  <c r="P9" i="14"/>
  <c r="P8" i="14"/>
  <c r="P7" i="14"/>
  <c r="P6" i="14"/>
  <c r="P5" i="14"/>
  <c r="P4"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I42" i="14"/>
  <c r="J42" i="14"/>
  <c r="K42" i="14" s="1"/>
  <c r="N42" i="14"/>
  <c r="I43" i="14"/>
  <c r="J43" i="14"/>
  <c r="K43" i="14" s="1"/>
  <c r="N43" i="14"/>
  <c r="I41" i="14"/>
  <c r="N41" i="14"/>
  <c r="J41" i="14"/>
  <c r="L41" i="14" s="1"/>
  <c r="K41" i="14"/>
  <c r="M41" i="14" s="1"/>
  <c r="E5" i="14"/>
  <c r="E7" i="14"/>
  <c r="E6" i="14"/>
  <c r="E10" i="14"/>
  <c r="E8" i="14"/>
  <c r="E9" i="14"/>
  <c r="E11" i="14"/>
  <c r="E12" i="14"/>
  <c r="E13" i="14"/>
  <c r="E21" i="14"/>
  <c r="E31" i="14"/>
  <c r="E48" i="14"/>
  <c r="E46" i="14"/>
  <c r="E47" i="14"/>
  <c r="E4" i="14"/>
  <c r="N47" i="14"/>
  <c r="J47" i="14"/>
  <c r="I47" i="14"/>
  <c r="N45" i="14"/>
  <c r="J45" i="14"/>
  <c r="I45" i="14"/>
  <c r="N46" i="14"/>
  <c r="J46" i="14"/>
  <c r="K46" i="14" s="1"/>
  <c r="I46" i="14"/>
  <c r="N44" i="14"/>
  <c r="J44" i="14"/>
  <c r="K44" i="14" s="1"/>
  <c r="I44" i="14"/>
  <c r="N48" i="14"/>
  <c r="J48" i="14"/>
  <c r="I48" i="14"/>
  <c r="N33" i="14"/>
  <c r="J33" i="14"/>
  <c r="K33" i="14" s="1"/>
  <c r="I33" i="14"/>
  <c r="N39" i="14"/>
  <c r="J39" i="14"/>
  <c r="K39" i="14" s="1"/>
  <c r="I39" i="14"/>
  <c r="N40" i="14"/>
  <c r="J40" i="14"/>
  <c r="I40" i="14"/>
  <c r="N38" i="14"/>
  <c r="J38" i="14"/>
  <c r="K38" i="14" s="1"/>
  <c r="I38" i="14"/>
  <c r="N25" i="14"/>
  <c r="J25" i="14"/>
  <c r="I25" i="14"/>
  <c r="N35" i="14"/>
  <c r="J35" i="14"/>
  <c r="K35" i="14" s="1"/>
  <c r="I35" i="14"/>
  <c r="N37" i="14"/>
  <c r="J37" i="14"/>
  <c r="I37" i="14"/>
  <c r="N31" i="14"/>
  <c r="J31" i="14"/>
  <c r="K31" i="14" s="1"/>
  <c r="I31" i="14"/>
  <c r="N23" i="14"/>
  <c r="J23" i="14"/>
  <c r="I23" i="14"/>
  <c r="N27" i="14"/>
  <c r="J27" i="14"/>
  <c r="K27" i="14" s="1"/>
  <c r="I27" i="14"/>
  <c r="N36" i="14"/>
  <c r="J36" i="14"/>
  <c r="I36" i="14"/>
  <c r="N29" i="14"/>
  <c r="J29" i="14"/>
  <c r="K29" i="14" s="1"/>
  <c r="I29" i="14"/>
  <c r="N22" i="14"/>
  <c r="J22" i="14"/>
  <c r="I22" i="14"/>
  <c r="N32" i="14"/>
  <c r="J32" i="14"/>
  <c r="K32" i="14" s="1"/>
  <c r="I32" i="14"/>
  <c r="N34" i="14"/>
  <c r="J34" i="14"/>
  <c r="I34" i="14"/>
  <c r="N21" i="14"/>
  <c r="J21" i="14"/>
  <c r="I21" i="14"/>
  <c r="N26" i="14"/>
  <c r="J26" i="14"/>
  <c r="I26" i="14"/>
  <c r="N28" i="14"/>
  <c r="J28" i="14"/>
  <c r="K28" i="14" s="1"/>
  <c r="I28" i="14"/>
  <c r="N20" i="14"/>
  <c r="J20" i="14"/>
  <c r="I20" i="14"/>
  <c r="N15" i="14"/>
  <c r="J15" i="14"/>
  <c r="I15" i="14"/>
  <c r="N24" i="14"/>
  <c r="J24" i="14"/>
  <c r="I24" i="14"/>
  <c r="N13" i="14"/>
  <c r="J13" i="14"/>
  <c r="K13" i="14" s="1"/>
  <c r="I13" i="14"/>
  <c r="N19" i="14"/>
  <c r="J19" i="14"/>
  <c r="I19" i="14"/>
  <c r="N14" i="14"/>
  <c r="J14" i="14"/>
  <c r="I14" i="14"/>
  <c r="N17" i="14"/>
  <c r="J17" i="14"/>
  <c r="I17" i="14"/>
  <c r="N12" i="14"/>
  <c r="J12" i="14"/>
  <c r="K12" i="14" s="1"/>
  <c r="I12" i="14"/>
  <c r="N18" i="14"/>
  <c r="J18" i="14"/>
  <c r="I18" i="14"/>
  <c r="N16" i="14"/>
  <c r="J16" i="14"/>
  <c r="I16" i="14"/>
  <c r="N30" i="14"/>
  <c r="J30" i="14"/>
  <c r="I30" i="14"/>
  <c r="N11" i="14"/>
  <c r="J11" i="14"/>
  <c r="K11" i="14" s="1"/>
  <c r="I11" i="14"/>
  <c r="N9" i="14"/>
  <c r="J9" i="14"/>
  <c r="I9" i="14"/>
  <c r="N8" i="14"/>
  <c r="J8" i="14"/>
  <c r="I8" i="14"/>
  <c r="N10" i="14"/>
  <c r="J10" i="14"/>
  <c r="I10" i="14"/>
  <c r="N6" i="14"/>
  <c r="J6" i="14"/>
  <c r="K6" i="14" s="1"/>
  <c r="I6" i="14"/>
  <c r="N7" i="14"/>
  <c r="J7" i="14"/>
  <c r="I7" i="14"/>
  <c r="N5" i="14"/>
  <c r="J5" i="14"/>
  <c r="I5" i="14"/>
  <c r="N4" i="14"/>
  <c r="J4" i="14"/>
  <c r="I4" i="14"/>
  <c r="L25" i="11"/>
  <c r="L24" i="11"/>
  <c r="L27" i="11"/>
  <c r="L26" i="11"/>
  <c r="L29" i="11"/>
  <c r="L28" i="11"/>
  <c r="L31" i="11"/>
  <c r="L30" i="11"/>
  <c r="L33" i="11"/>
  <c r="L32" i="11"/>
  <c r="L34" i="11"/>
  <c r="L35" i="11"/>
  <c r="L37" i="11"/>
  <c r="L36" i="11"/>
  <c r="L39" i="11"/>
  <c r="L38" i="11"/>
  <c r="L41" i="11"/>
  <c r="L40" i="11"/>
  <c r="L43" i="11"/>
  <c r="L42" i="11"/>
  <c r="L45" i="11"/>
  <c r="L44" i="11"/>
  <c r="J20" i="11"/>
  <c r="K20" i="11" s="1"/>
  <c r="I32" i="11"/>
  <c r="I40" i="11"/>
  <c r="J40" i="11" s="1"/>
  <c r="G24" i="11"/>
  <c r="H24" i="11"/>
  <c r="I24" i="11" s="1"/>
  <c r="G27" i="11"/>
  <c r="H27" i="11"/>
  <c r="G26" i="11"/>
  <c r="H26" i="11"/>
  <c r="G29" i="11"/>
  <c r="H29" i="11"/>
  <c r="G28" i="11"/>
  <c r="H28" i="11"/>
  <c r="G31" i="11"/>
  <c r="H31" i="11"/>
  <c r="G30" i="11"/>
  <c r="H30" i="11"/>
  <c r="G33" i="11"/>
  <c r="H33" i="11"/>
  <c r="I33" i="11" s="1"/>
  <c r="J33" i="11" s="1"/>
  <c r="G32" i="11"/>
  <c r="H32" i="11"/>
  <c r="G34" i="11"/>
  <c r="H34" i="11"/>
  <c r="G35" i="11"/>
  <c r="H35" i="11"/>
  <c r="G37" i="11"/>
  <c r="H37" i="11"/>
  <c r="G36" i="11"/>
  <c r="H36" i="11"/>
  <c r="G39" i="11"/>
  <c r="H39" i="11"/>
  <c r="G38" i="11"/>
  <c r="H38" i="11"/>
  <c r="G41" i="11"/>
  <c r="H41" i="11"/>
  <c r="I41" i="11" s="1"/>
  <c r="G40" i="11"/>
  <c r="H40" i="11"/>
  <c r="G43" i="11"/>
  <c r="H43" i="11"/>
  <c r="G42" i="11"/>
  <c r="H42" i="11"/>
  <c r="G45" i="11"/>
  <c r="H45" i="11"/>
  <c r="G44" i="11"/>
  <c r="H44" i="11"/>
  <c r="G20" i="11"/>
  <c r="L20" i="11"/>
  <c r="H20" i="11"/>
  <c r="I20" i="11" s="1"/>
  <c r="G14" i="11"/>
  <c r="L14" i="11"/>
  <c r="H14" i="11"/>
  <c r="I14" i="11" s="1"/>
  <c r="D13" i="11"/>
  <c r="D11" i="11"/>
  <c r="D21" i="11"/>
  <c r="D6" i="11"/>
  <c r="D7" i="11"/>
  <c r="D5" i="11"/>
  <c r="D8" i="11"/>
  <c r="D10" i="11"/>
  <c r="D9" i="11"/>
  <c r="D4" i="11"/>
  <c r="D12" i="11"/>
  <c r="B2" i="12" a="1"/>
  <c r="E41" i="14" s="1"/>
  <c r="L15" i="11"/>
  <c r="H15" i="11"/>
  <c r="I15" i="11" s="1"/>
  <c r="G15" i="11"/>
  <c r="L5" i="11"/>
  <c r="H5" i="11"/>
  <c r="I5" i="11" s="1"/>
  <c r="J5" i="11" s="1"/>
  <c r="G5" i="11"/>
  <c r="L18" i="11"/>
  <c r="H18" i="11"/>
  <c r="G18" i="11"/>
  <c r="L16" i="11"/>
  <c r="H16" i="11"/>
  <c r="G16" i="11"/>
  <c r="L6" i="11"/>
  <c r="H6" i="11"/>
  <c r="I6" i="11" s="1"/>
  <c r="G6" i="11"/>
  <c r="L9" i="11"/>
  <c r="H9" i="11"/>
  <c r="I9" i="11" s="1"/>
  <c r="G9" i="11"/>
  <c r="L8" i="11"/>
  <c r="H8" i="11"/>
  <c r="G8" i="11"/>
  <c r="L22" i="11"/>
  <c r="H22" i="11"/>
  <c r="I22" i="11" s="1"/>
  <c r="G22" i="11"/>
  <c r="L7" i="11"/>
  <c r="H7" i="11"/>
  <c r="G7" i="11"/>
  <c r="L23" i="11"/>
  <c r="H23" i="11"/>
  <c r="I23" i="11" s="1"/>
  <c r="G23" i="11"/>
  <c r="L11" i="11"/>
  <c r="H11" i="11"/>
  <c r="G11" i="11"/>
  <c r="H25" i="11"/>
  <c r="I25" i="11" s="1"/>
  <c r="J25" i="11" s="1"/>
  <c r="G25" i="11"/>
  <c r="L21" i="11"/>
  <c r="H21" i="11"/>
  <c r="G21" i="11"/>
  <c r="L10" i="11"/>
  <c r="H10" i="11"/>
  <c r="G10" i="11"/>
  <c r="L17" i="11"/>
  <c r="H17" i="11"/>
  <c r="G17" i="11"/>
  <c r="L12" i="11"/>
  <c r="H12" i="11"/>
  <c r="G12" i="11"/>
  <c r="L19" i="11"/>
  <c r="H19" i="11"/>
  <c r="I19" i="11" s="1"/>
  <c r="G19" i="11"/>
  <c r="L13" i="11"/>
  <c r="H13" i="11"/>
  <c r="G13" i="11"/>
  <c r="L4" i="11"/>
  <c r="H4" i="11"/>
  <c r="G4" i="11"/>
  <c r="X2" i="1"/>
  <c r="Y2" i="1" s="1"/>
  <c r="Z2" i="1" s="1"/>
  <c r="AA2" i="1" s="1"/>
  <c r="AB2" i="1" s="1"/>
  <c r="Q2" i="1"/>
  <c r="R2" i="1" s="1"/>
  <c r="S2" i="1" s="1"/>
  <c r="T2" i="1" s="1"/>
  <c r="U2" i="1" s="1"/>
  <c r="L4" i="1"/>
  <c r="L5" i="1" s="1"/>
  <c r="L6" i="1" s="1"/>
  <c r="L7" i="1" s="1"/>
  <c r="L8" i="1" s="1"/>
  <c r="L9" i="1" s="1"/>
  <c r="L10" i="1" s="1"/>
  <c r="L11" i="1" s="1"/>
  <c r="L12" i="1" s="1"/>
  <c r="L13" i="1" s="1"/>
  <c r="L14" i="1" s="1"/>
  <c r="L15" i="1" s="1"/>
  <c r="L16" i="1" s="1"/>
  <c r="L17" i="1" s="1"/>
  <c r="L18" i="1" s="1"/>
  <c r="L19" i="1" s="1"/>
  <c r="L20" i="1" s="1"/>
  <c r="L21" i="1" s="1"/>
  <c r="L22" i="1" s="1"/>
  <c r="L23" i="1" s="1"/>
  <c r="L24" i="1" s="1"/>
  <c r="L25" i="1" s="1"/>
  <c r="L26" i="1" s="1"/>
  <c r="L27" i="1" s="1"/>
  <c r="L28" i="1" s="1"/>
  <c r="L29" i="1" s="1"/>
  <c r="L30" i="1" s="1"/>
  <c r="L31" i="1" s="1"/>
  <c r="L32" i="1" s="1"/>
  <c r="L33" i="1" s="1"/>
  <c r="L34" i="1" s="1"/>
  <c r="L35" i="1" s="1"/>
  <c r="L36" i="1" s="1"/>
  <c r="L37" i="1" s="1"/>
  <c r="L38" i="1" s="1"/>
  <c r="L39" i="1" s="1"/>
  <c r="L40" i="1" s="1"/>
  <c r="L41" i="1" s="1"/>
  <c r="L42" i="1" s="1"/>
  <c r="L43" i="1" s="1"/>
  <c r="L44" i="1" s="1"/>
  <c r="AD4" i="38" l="1"/>
  <c r="AC4" i="38"/>
  <c r="D28" i="11"/>
  <c r="E44" i="14"/>
  <c r="E37" i="14"/>
  <c r="E34" i="14"/>
  <c r="E19" i="14"/>
  <c r="E43" i="14"/>
  <c r="E33" i="14"/>
  <c r="E23" i="14"/>
  <c r="E26" i="14"/>
  <c r="E17" i="14"/>
  <c r="E39" i="14"/>
  <c r="E27" i="14"/>
  <c r="E28" i="14"/>
  <c r="E40" i="14"/>
  <c r="E36" i="14"/>
  <c r="E20" i="14"/>
  <c r="E18" i="14"/>
  <c r="E38" i="14"/>
  <c r="E29" i="14"/>
  <c r="E16" i="14"/>
  <c r="D45" i="11"/>
  <c r="E45" i="14"/>
  <c r="E25" i="14"/>
  <c r="E22" i="14"/>
  <c r="E24" i="14"/>
  <c r="E30" i="14"/>
  <c r="D20" i="11"/>
  <c r="G17" i="26"/>
  <c r="G26" i="26"/>
  <c r="G29" i="26"/>
  <c r="G28" i="26"/>
  <c r="F33" i="17"/>
  <c r="F34" i="17"/>
  <c r="F17" i="17"/>
  <c r="F44" i="17"/>
  <c r="F31" i="17"/>
  <c r="G38" i="26"/>
  <c r="G25" i="26"/>
  <c r="G32" i="26"/>
  <c r="G30" i="26"/>
  <c r="G34" i="26"/>
  <c r="F39" i="17"/>
  <c r="F20" i="17"/>
  <c r="F26" i="17"/>
  <c r="G24" i="26"/>
  <c r="F43" i="17"/>
  <c r="G39" i="26"/>
  <c r="G21" i="26"/>
  <c r="G44" i="26"/>
  <c r="F38" i="17"/>
  <c r="F25" i="17"/>
  <c r="F27" i="17"/>
  <c r="F37" i="17"/>
  <c r="F30" i="17"/>
  <c r="F40" i="17"/>
  <c r="G40" i="26"/>
  <c r="G15" i="26"/>
  <c r="G27" i="26"/>
  <c r="G43" i="26"/>
  <c r="G36" i="26"/>
  <c r="F28" i="17"/>
  <c r="F18" i="17"/>
  <c r="G42" i="26"/>
  <c r="G19" i="26"/>
  <c r="G23" i="26"/>
  <c r="G20" i="26"/>
  <c r="F45" i="17"/>
  <c r="F41" i="17"/>
  <c r="F35" i="17"/>
  <c r="F23" i="17"/>
  <c r="F32" i="17"/>
  <c r="G18" i="26"/>
  <c r="F21" i="17"/>
  <c r="G31" i="26"/>
  <c r="G41" i="26"/>
  <c r="G35" i="26"/>
  <c r="F22" i="17"/>
  <c r="G22" i="26"/>
  <c r="F29" i="17"/>
  <c r="G16" i="26"/>
  <c r="G33" i="26"/>
  <c r="G37" i="26"/>
  <c r="F42" i="17"/>
  <c r="F36" i="17"/>
  <c r="F19" i="17"/>
  <c r="F24" i="17"/>
  <c r="F16" i="17"/>
  <c r="D37" i="11"/>
  <c r="E35" i="14"/>
  <c r="E32" i="14"/>
  <c r="E42" i="14"/>
  <c r="R4" i="17"/>
  <c r="R12" i="17"/>
  <c r="R44" i="17"/>
  <c r="R6" i="17"/>
  <c r="R11" i="17"/>
  <c r="M12" i="17"/>
  <c r="R22" i="17"/>
  <c r="L21" i="17"/>
  <c r="M21" i="17" s="1"/>
  <c r="R27" i="17"/>
  <c r="M35" i="17"/>
  <c r="R38" i="17"/>
  <c r="R43" i="17"/>
  <c r="R16" i="17"/>
  <c r="R21" i="17"/>
  <c r="M25" i="17"/>
  <c r="R32" i="17"/>
  <c r="R37" i="17"/>
  <c r="R33" i="17"/>
  <c r="M29" i="17"/>
  <c r="R5" i="17"/>
  <c r="R10" i="17"/>
  <c r="L10" i="17"/>
  <c r="M10" i="17" s="1"/>
  <c r="R15" i="17"/>
  <c r="R26" i="17"/>
  <c r="L25" i="17"/>
  <c r="R31" i="17"/>
  <c r="R42" i="17"/>
  <c r="L47" i="17"/>
  <c r="R28" i="17"/>
  <c r="L5" i="17"/>
  <c r="M5" i="17" s="1"/>
  <c r="N5" i="17" s="1"/>
  <c r="R9" i="17"/>
  <c r="M9" i="17"/>
  <c r="R20" i="17"/>
  <c r="L13" i="17"/>
  <c r="M13" i="17" s="1"/>
  <c r="N13" i="17" s="1"/>
  <c r="R25" i="17"/>
  <c r="M31" i="17"/>
  <c r="N31" i="17" s="1"/>
  <c r="R36" i="17"/>
  <c r="L46" i="17"/>
  <c r="M46" i="17" s="1"/>
  <c r="N46" i="17" s="1"/>
  <c r="R41" i="17"/>
  <c r="R17" i="17"/>
  <c r="M8" i="17"/>
  <c r="R14" i="17"/>
  <c r="R19" i="17"/>
  <c r="M23" i="17"/>
  <c r="R30" i="17"/>
  <c r="R35" i="17"/>
  <c r="R8" i="17"/>
  <c r="R13" i="17"/>
  <c r="R24" i="17"/>
  <c r="N23" i="17"/>
  <c r="R29" i="17"/>
  <c r="R40" i="17"/>
  <c r="L41" i="17"/>
  <c r="R45" i="17"/>
  <c r="M16" i="17"/>
  <c r="N16" i="17" s="1"/>
  <c r="P2" i="17"/>
  <c r="N8" i="17"/>
  <c r="Q2" i="17"/>
  <c r="R7" i="17"/>
  <c r="M17" i="17"/>
  <c r="N17" i="17" s="1"/>
  <c r="R18" i="17"/>
  <c r="L27" i="17"/>
  <c r="M27" i="17" s="1"/>
  <c r="R23" i="17"/>
  <c r="M34" i="17"/>
  <c r="N34" i="17" s="1"/>
  <c r="R34" i="17"/>
  <c r="L38" i="17"/>
  <c r="M38" i="17" s="1"/>
  <c r="R39" i="17"/>
  <c r="M33" i="17"/>
  <c r="N33" i="17" s="1"/>
  <c r="M18" i="17"/>
  <c r="N18" i="17" s="1"/>
  <c r="M28" i="17"/>
  <c r="N28" i="17" s="1"/>
  <c r="M15" i="17"/>
  <c r="N15" i="17" s="1"/>
  <c r="M44" i="17"/>
  <c r="N44" i="17" s="1"/>
  <c r="N29" i="17"/>
  <c r="M48" i="17"/>
  <c r="N48" i="17" s="1"/>
  <c r="M7" i="17"/>
  <c r="N7" i="17" s="1"/>
  <c r="M6" i="17"/>
  <c r="N6" i="17" s="1"/>
  <c r="N12" i="17"/>
  <c r="M24" i="17"/>
  <c r="N24" i="17" s="1"/>
  <c r="N35" i="17"/>
  <c r="M36" i="17"/>
  <c r="N36" i="17" s="1"/>
  <c r="M26" i="17"/>
  <c r="N26" i="17" s="1"/>
  <c r="M32" i="17"/>
  <c r="N32" i="17" s="1"/>
  <c r="M4" i="17"/>
  <c r="N4" i="17" s="1"/>
  <c r="M14" i="17"/>
  <c r="N14" i="17" s="1"/>
  <c r="M37" i="17"/>
  <c r="N37" i="17" s="1"/>
  <c r="N9" i="17"/>
  <c r="M20" i="17"/>
  <c r="N20" i="17" s="1"/>
  <c r="M39" i="17"/>
  <c r="N39" i="17" s="1"/>
  <c r="M11" i="17"/>
  <c r="N11" i="17" s="1"/>
  <c r="M19" i="17"/>
  <c r="N19" i="17" s="1"/>
  <c r="M42" i="17"/>
  <c r="N42" i="17"/>
  <c r="M22" i="17"/>
  <c r="N22" i="17" s="1"/>
  <c r="M40" i="17"/>
  <c r="N40" i="17" s="1"/>
  <c r="L49" i="17"/>
  <c r="M49" i="17" s="1"/>
  <c r="L43" i="17"/>
  <c r="M43" i="17" s="1"/>
  <c r="L30" i="17"/>
  <c r="M30" i="17" s="1"/>
  <c r="M42" i="14"/>
  <c r="L42" i="14"/>
  <c r="L43" i="14"/>
  <c r="M43" i="14" s="1"/>
  <c r="L32" i="14"/>
  <c r="M32" i="14" s="1"/>
  <c r="L11" i="14"/>
  <c r="M11" i="14"/>
  <c r="L13" i="14"/>
  <c r="M13" i="14" s="1"/>
  <c r="L31" i="14"/>
  <c r="M31" i="14" s="1"/>
  <c r="L6" i="14"/>
  <c r="M6" i="14" s="1"/>
  <c r="L28" i="14"/>
  <c r="M28" i="14" s="1"/>
  <c r="L27" i="14"/>
  <c r="M27" i="14" s="1"/>
  <c r="L44" i="14"/>
  <c r="M44" i="14" s="1"/>
  <c r="L12" i="14"/>
  <c r="M12" i="14"/>
  <c r="M29" i="14"/>
  <c r="L29" i="14"/>
  <c r="L38" i="14"/>
  <c r="M38" i="14" s="1"/>
  <c r="L33" i="14"/>
  <c r="M33" i="14" s="1"/>
  <c r="L35" i="14"/>
  <c r="M35" i="14" s="1"/>
  <c r="L39" i="14"/>
  <c r="M39" i="14" s="1"/>
  <c r="L46" i="14"/>
  <c r="M46" i="14" s="1"/>
  <c r="K7" i="14"/>
  <c r="L7" i="14" s="1"/>
  <c r="K9" i="14"/>
  <c r="L9" i="14" s="1"/>
  <c r="K18" i="14"/>
  <c r="K19" i="14"/>
  <c r="L19" i="14" s="1"/>
  <c r="K20" i="14"/>
  <c r="K34" i="14"/>
  <c r="K36" i="14"/>
  <c r="K37" i="14"/>
  <c r="K40" i="14"/>
  <c r="L40" i="14" s="1"/>
  <c r="K5" i="14"/>
  <c r="L5" i="14" s="1"/>
  <c r="K8" i="14"/>
  <c r="K16" i="14"/>
  <c r="L16" i="14" s="1"/>
  <c r="K14" i="14"/>
  <c r="L14" i="14" s="1"/>
  <c r="K15" i="14"/>
  <c r="L15" i="14" s="1"/>
  <c r="K21" i="14"/>
  <c r="L21" i="14" s="1"/>
  <c r="K48" i="14"/>
  <c r="K47" i="14"/>
  <c r="L47" i="14" s="1"/>
  <c r="K4" i="14"/>
  <c r="L4" i="14" s="1"/>
  <c r="K10" i="14"/>
  <c r="L10" i="14" s="1"/>
  <c r="K30" i="14"/>
  <c r="L30" i="14" s="1"/>
  <c r="K17" i="14"/>
  <c r="K24" i="14"/>
  <c r="L24" i="14" s="1"/>
  <c r="K26" i="14"/>
  <c r="K22" i="14"/>
  <c r="L22" i="14" s="1"/>
  <c r="K23" i="14"/>
  <c r="L23" i="14" s="1"/>
  <c r="K25" i="14"/>
  <c r="L25" i="14" s="1"/>
  <c r="K45" i="14"/>
  <c r="J19" i="11"/>
  <c r="J14" i="11"/>
  <c r="J15" i="11"/>
  <c r="K22" i="11"/>
  <c r="J32" i="11"/>
  <c r="K32" i="11" s="1"/>
  <c r="J41" i="11"/>
  <c r="K41" i="11" s="1"/>
  <c r="I38" i="11"/>
  <c r="I30" i="11"/>
  <c r="J30" i="11" s="1"/>
  <c r="J22" i="11"/>
  <c r="J24" i="11"/>
  <c r="K24" i="11" s="1"/>
  <c r="I39" i="11"/>
  <c r="I31" i="11"/>
  <c r="J23" i="11"/>
  <c r="K23" i="11" s="1"/>
  <c r="K40" i="11"/>
  <c r="I44" i="11"/>
  <c r="I36" i="11"/>
  <c r="J36" i="11" s="1"/>
  <c r="I28" i="11"/>
  <c r="J28" i="11" s="1"/>
  <c r="K33" i="11"/>
  <c r="K25" i="11"/>
  <c r="I45" i="11"/>
  <c r="I37" i="11"/>
  <c r="I29" i="11"/>
  <c r="I42" i="11"/>
  <c r="I35" i="11"/>
  <c r="J35" i="11" s="1"/>
  <c r="I26" i="11"/>
  <c r="J26" i="11" s="1"/>
  <c r="I43" i="11"/>
  <c r="J43" i="11" s="1"/>
  <c r="I34" i="11"/>
  <c r="J34" i="11" s="1"/>
  <c r="I27" i="11"/>
  <c r="K14" i="11"/>
  <c r="D43" i="11"/>
  <c r="D35" i="11"/>
  <c r="D26" i="11"/>
  <c r="D18" i="11"/>
  <c r="D42" i="11"/>
  <c r="D34" i="11"/>
  <c r="D27" i="11"/>
  <c r="D19" i="11"/>
  <c r="D41" i="11"/>
  <c r="D32" i="11"/>
  <c r="D25" i="11"/>
  <c r="D16" i="11"/>
  <c r="D40" i="11"/>
  <c r="D33" i="11"/>
  <c r="D24" i="11"/>
  <c r="D17" i="11"/>
  <c r="B2" i="12"/>
  <c r="D39" i="11"/>
  <c r="D31" i="11"/>
  <c r="D23" i="11"/>
  <c r="D38" i="11"/>
  <c r="D30" i="11"/>
  <c r="D22" i="11"/>
  <c r="D44" i="11"/>
  <c r="D36" i="11"/>
  <c r="D29" i="11"/>
  <c r="K15" i="11"/>
  <c r="K19" i="11"/>
  <c r="J6" i="11"/>
  <c r="K6" i="11" s="1"/>
  <c r="I13" i="11"/>
  <c r="J13" i="11" s="1"/>
  <c r="J9" i="11"/>
  <c r="K9" i="11" s="1"/>
  <c r="I18" i="11"/>
  <c r="K5" i="11"/>
  <c r="I21" i="11"/>
  <c r="I8" i="11"/>
  <c r="J8" i="11" s="1"/>
  <c r="I10" i="11"/>
  <c r="I4" i="11"/>
  <c r="I17" i="11"/>
  <c r="J17" i="11" s="1"/>
  <c r="I11" i="11"/>
  <c r="J11" i="11" s="1"/>
  <c r="I12" i="11"/>
  <c r="J12" i="11" s="1"/>
  <c r="I7" i="11"/>
  <c r="I16" i="11"/>
  <c r="J16" i="11" s="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3" i="1"/>
  <c r="K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3" i="1"/>
  <c r="G4" i="1"/>
  <c r="G5" i="1"/>
  <c r="G6" i="1"/>
  <c r="G7" i="1"/>
  <c r="G8" i="1"/>
  <c r="H8" i="1" s="1"/>
  <c r="G9" i="1"/>
  <c r="H9" i="1" s="1"/>
  <c r="G10" i="1"/>
  <c r="G11" i="1"/>
  <c r="G12" i="1"/>
  <c r="G13" i="1"/>
  <c r="G14" i="1"/>
  <c r="G15" i="1"/>
  <c r="H15" i="1" s="1"/>
  <c r="G16" i="1"/>
  <c r="H16" i="1" s="1"/>
  <c r="I16" i="1" s="1"/>
  <c r="G17" i="1"/>
  <c r="H17" i="1" s="1"/>
  <c r="G18" i="1"/>
  <c r="G19" i="1"/>
  <c r="G20" i="1"/>
  <c r="G21" i="1"/>
  <c r="G22" i="1"/>
  <c r="G23" i="1"/>
  <c r="G24" i="1"/>
  <c r="H24" i="1" s="1"/>
  <c r="I24" i="1" s="1"/>
  <c r="G25" i="1"/>
  <c r="H25" i="1" s="1"/>
  <c r="G26" i="1"/>
  <c r="G27" i="1"/>
  <c r="G28" i="1"/>
  <c r="G29" i="1"/>
  <c r="G30" i="1"/>
  <c r="G31" i="1"/>
  <c r="H31" i="1" s="1"/>
  <c r="G32" i="1"/>
  <c r="H32" i="1" s="1"/>
  <c r="G33" i="1"/>
  <c r="H33" i="1" s="1"/>
  <c r="G34" i="1"/>
  <c r="G35" i="1"/>
  <c r="G36" i="1"/>
  <c r="G37" i="1"/>
  <c r="G38" i="1"/>
  <c r="G39" i="1"/>
  <c r="G40" i="1"/>
  <c r="H40" i="1" s="1"/>
  <c r="G41" i="1"/>
  <c r="H41" i="1" s="1"/>
  <c r="G42" i="1"/>
  <c r="G43" i="1"/>
  <c r="G44" i="1"/>
  <c r="G3" i="1"/>
  <c r="M3" i="1" a="1"/>
  <c r="F15" i="17" l="1"/>
  <c r="G14" i="26"/>
  <c r="F14" i="17"/>
  <c r="G13" i="26"/>
  <c r="E15" i="14"/>
  <c r="E14" i="14"/>
  <c r="R2" i="17"/>
  <c r="N21" i="17"/>
  <c r="N27" i="17"/>
  <c r="N25" i="17"/>
  <c r="M41" i="17"/>
  <c r="N41" i="17" s="1"/>
  <c r="M47" i="17"/>
  <c r="N47" i="17" s="1"/>
  <c r="N10" i="17"/>
  <c r="N38" i="17"/>
  <c r="N43" i="17"/>
  <c r="N30" i="17"/>
  <c r="N49" i="17"/>
  <c r="M24" i="14"/>
  <c r="M15" i="14"/>
  <c r="L34" i="14"/>
  <c r="M34" i="14" s="1"/>
  <c r="L26" i="14"/>
  <c r="M26" i="14" s="1"/>
  <c r="M30" i="14"/>
  <c r="M45" i="14"/>
  <c r="M10" i="14"/>
  <c r="L18" i="14"/>
  <c r="M18" i="14" s="1"/>
  <c r="M21" i="14"/>
  <c r="L37" i="14"/>
  <c r="M37" i="14" s="1"/>
  <c r="M14" i="14"/>
  <c r="L36" i="14"/>
  <c r="M36" i="14" s="1"/>
  <c r="M16" i="14"/>
  <c r="M19" i="14"/>
  <c r="L20" i="14"/>
  <c r="M20" i="14" s="1"/>
  <c r="L48" i="14"/>
  <c r="M48" i="14" s="1"/>
  <c r="M25" i="14"/>
  <c r="M4" i="14"/>
  <c r="M5" i="14"/>
  <c r="M9" i="14"/>
  <c r="L17" i="14"/>
  <c r="M17" i="14" s="1"/>
  <c r="L45" i="14"/>
  <c r="L8" i="14"/>
  <c r="M8" i="14" s="1"/>
  <c r="M23" i="14"/>
  <c r="M47" i="14"/>
  <c r="M40" i="14"/>
  <c r="M7" i="14"/>
  <c r="M22" i="14"/>
  <c r="J18" i="11"/>
  <c r="K18" i="11" s="1"/>
  <c r="J21" i="11"/>
  <c r="K21" i="11" s="1"/>
  <c r="J42" i="11"/>
  <c r="K42" i="11" s="1"/>
  <c r="K45" i="11"/>
  <c r="J29" i="11"/>
  <c r="K29" i="11" s="1"/>
  <c r="K34" i="11"/>
  <c r="J37" i="11"/>
  <c r="K37" i="11" s="1"/>
  <c r="K43" i="11"/>
  <c r="J45" i="11"/>
  <c r="J44" i="11"/>
  <c r="K44" i="11" s="1"/>
  <c r="K26" i="11"/>
  <c r="K28" i="11"/>
  <c r="J27" i="11"/>
  <c r="K27" i="11" s="1"/>
  <c r="K35" i="11"/>
  <c r="K36" i="11"/>
  <c r="K30" i="11"/>
  <c r="J38" i="11"/>
  <c r="K38" i="11" s="1"/>
  <c r="J31" i="11"/>
  <c r="K31" i="11" s="1"/>
  <c r="J39" i="11"/>
  <c r="K39" i="11" s="1"/>
  <c r="D15" i="11"/>
  <c r="D14" i="11"/>
  <c r="K16" i="11"/>
  <c r="K17" i="11"/>
  <c r="K8" i="11"/>
  <c r="J4" i="11"/>
  <c r="K4" i="11" s="1"/>
  <c r="K11" i="11"/>
  <c r="K13" i="11"/>
  <c r="K12" i="11"/>
  <c r="J10" i="11"/>
  <c r="K10" i="11" s="1"/>
  <c r="J7" i="11"/>
  <c r="K7" i="11" s="1"/>
  <c r="M13" i="1"/>
  <c r="M38" i="1"/>
  <c r="M24" i="1"/>
  <c r="M3" i="1"/>
  <c r="M28" i="1"/>
  <c r="M44" i="1"/>
  <c r="M15" i="1"/>
  <c r="M9" i="1"/>
  <c r="M42" i="1"/>
  <c r="M21" i="1"/>
  <c r="M7" i="1"/>
  <c r="M32" i="1"/>
  <c r="M11" i="1"/>
  <c r="M36" i="1"/>
  <c r="M29" i="1"/>
  <c r="M40" i="1"/>
  <c r="M19" i="1"/>
  <c r="M16" i="1"/>
  <c r="M37" i="1"/>
  <c r="M23" i="1"/>
  <c r="M10" i="1"/>
  <c r="M27" i="1"/>
  <c r="M17" i="1"/>
  <c r="M39" i="1"/>
  <c r="M43" i="1"/>
  <c r="M33" i="1"/>
  <c r="M8" i="1"/>
  <c r="M34" i="1"/>
  <c r="M41" i="1"/>
  <c r="M5" i="1"/>
  <c r="M12" i="1"/>
  <c r="M6" i="1"/>
  <c r="M31" i="1"/>
  <c r="M18" i="1"/>
  <c r="M35" i="1"/>
  <c r="M25" i="1"/>
  <c r="M14" i="1"/>
  <c r="M26" i="1"/>
  <c r="M22" i="1"/>
  <c r="M4" i="1"/>
  <c r="M30" i="1"/>
  <c r="M20" i="1"/>
  <c r="H23" i="1"/>
  <c r="I23" i="1" s="1"/>
  <c r="J23" i="1" s="1"/>
  <c r="I31" i="1"/>
  <c r="J31" i="1" s="1"/>
  <c r="H39" i="1"/>
  <c r="I39" i="1" s="1"/>
  <c r="J39" i="1" s="1"/>
  <c r="H7" i="1"/>
  <c r="I7" i="1" s="1"/>
  <c r="J7" i="1" s="1"/>
  <c r="I15" i="1"/>
  <c r="J15" i="1" s="1"/>
  <c r="I33" i="1"/>
  <c r="J33" i="1" s="1"/>
  <c r="I9" i="1"/>
  <c r="J9" i="1" s="1"/>
  <c r="I41" i="1"/>
  <c r="J41" i="1" s="1"/>
  <c r="I25" i="1"/>
  <c r="J25" i="1" s="1"/>
  <c r="I17" i="1"/>
  <c r="J17" i="1" s="1"/>
  <c r="H38" i="1"/>
  <c r="H30" i="1"/>
  <c r="H22" i="1"/>
  <c r="H14" i="1"/>
  <c r="I14" i="1" s="1"/>
  <c r="H6" i="1"/>
  <c r="I6" i="1" s="1"/>
  <c r="H3" i="1"/>
  <c r="I3" i="1" s="1"/>
  <c r="J3" i="1" s="1"/>
  <c r="H37" i="1"/>
  <c r="H29" i="1"/>
  <c r="I29" i="1" s="1"/>
  <c r="H21" i="1"/>
  <c r="H13" i="1"/>
  <c r="H5" i="1"/>
  <c r="I5" i="1" s="1"/>
  <c r="J24" i="1"/>
  <c r="H44" i="1"/>
  <c r="H36" i="1"/>
  <c r="I36" i="1" s="1"/>
  <c r="H28" i="1"/>
  <c r="H20" i="1"/>
  <c r="I20" i="1" s="1"/>
  <c r="H12" i="1"/>
  <c r="I12" i="1" s="1"/>
  <c r="H4" i="1"/>
  <c r="J16" i="1"/>
  <c r="I40" i="1"/>
  <c r="J40" i="1" s="1"/>
  <c r="I32" i="1"/>
  <c r="J32" i="1" s="1"/>
  <c r="I8" i="1"/>
  <c r="J8" i="1" s="1"/>
  <c r="H43" i="1"/>
  <c r="I43" i="1" s="1"/>
  <c r="J43" i="1" s="1"/>
  <c r="H35" i="1"/>
  <c r="I35" i="1" s="1"/>
  <c r="J35" i="1" s="1"/>
  <c r="H27" i="1"/>
  <c r="I27" i="1" s="1"/>
  <c r="J27" i="1" s="1"/>
  <c r="H19" i="1"/>
  <c r="I19" i="1" s="1"/>
  <c r="J19" i="1" s="1"/>
  <c r="H11" i="1"/>
  <c r="I11" i="1" s="1"/>
  <c r="J11" i="1" s="1"/>
  <c r="H42" i="1"/>
  <c r="I42" i="1" s="1"/>
  <c r="J42" i="1" s="1"/>
  <c r="H34" i="1"/>
  <c r="I34" i="1" s="1"/>
  <c r="J34" i="1" s="1"/>
  <c r="H26" i="1"/>
  <c r="I26" i="1" s="1"/>
  <c r="J26" i="1" s="1"/>
  <c r="H18" i="1"/>
  <c r="I18" i="1" s="1"/>
  <c r="J18" i="1" s="1"/>
  <c r="H10" i="1"/>
  <c r="I10" i="1" s="1"/>
  <c r="J10" i="1" s="1"/>
  <c r="P14" i="1"/>
  <c r="P15" i="1"/>
  <c r="Q3" i="1" l="1"/>
  <c r="T3" i="1"/>
  <c r="P4" i="1"/>
  <c r="T4" i="1"/>
  <c r="U3" i="1"/>
  <c r="P3" i="1"/>
  <c r="R5" i="1"/>
  <c r="U5" i="1"/>
  <c r="R3" i="1"/>
  <c r="Q4" i="1"/>
  <c r="Q5" i="1"/>
  <c r="U4" i="1"/>
  <c r="T5" i="1"/>
  <c r="S4" i="1"/>
  <c r="S5" i="1"/>
  <c r="R4" i="1"/>
  <c r="S3" i="1"/>
  <c r="P5" i="1"/>
  <c r="I30" i="1"/>
  <c r="J30" i="1" s="1"/>
  <c r="J5" i="1"/>
  <c r="I22" i="1"/>
  <c r="J22" i="1" s="1"/>
  <c r="J12" i="1"/>
  <c r="I38" i="1"/>
  <c r="J38" i="1" s="1"/>
  <c r="J6" i="1"/>
  <c r="J14" i="1"/>
  <c r="J29" i="1"/>
  <c r="I13" i="1"/>
  <c r="J13" i="1" s="1"/>
  <c r="I4" i="1"/>
  <c r="J4" i="1" s="1"/>
  <c r="I21" i="1"/>
  <c r="J21" i="1" s="1"/>
  <c r="J20" i="1"/>
  <c r="J36" i="1"/>
  <c r="I28" i="1"/>
  <c r="J28" i="1" s="1"/>
  <c r="I37" i="1"/>
  <c r="J37" i="1" s="1"/>
  <c r="I44" i="1"/>
  <c r="J44" i="1" s="1"/>
  <c r="W19" i="1" l="1" a="1"/>
  <c r="W19" i="1" s="1"/>
  <c r="W28" i="1" a="1"/>
  <c r="W28" i="1" s="1"/>
  <c r="W16" i="1" a="1"/>
  <c r="W16" i="1" s="1"/>
  <c r="W25" i="1" a="1"/>
  <c r="W25" i="1" s="1"/>
  <c r="W17" i="1" a="1"/>
  <c r="W17" i="1" s="1"/>
  <c r="W42" i="1" a="1"/>
  <c r="W42" i="1" s="1"/>
  <c r="W36" i="1" a="1"/>
  <c r="W36" i="1" s="1"/>
  <c r="W3" i="1" a="1"/>
  <c r="W3" i="1" s="1"/>
  <c r="W18" i="1" a="1"/>
  <c r="W18" i="1" s="1"/>
  <c r="W31" i="1" a="1"/>
  <c r="W31" i="1" s="1"/>
  <c r="W21" i="1" a="1"/>
  <c r="W21" i="1" s="1"/>
  <c r="W32" i="1" a="1"/>
  <c r="W32" i="1" s="1"/>
  <c r="W43" i="1" a="1"/>
  <c r="W43" i="1" s="1"/>
  <c r="W4" i="1" a="1"/>
  <c r="W4" i="1" s="1"/>
  <c r="W20" i="1" a="1"/>
  <c r="W20" i="1" s="1"/>
  <c r="W39" i="1" a="1"/>
  <c r="W39" i="1" s="1"/>
  <c r="W23" i="1" a="1"/>
  <c r="W23" i="1" s="1"/>
  <c r="W41" i="1" a="1"/>
  <c r="W41" i="1" s="1"/>
  <c r="W44" i="1" a="1"/>
  <c r="W44" i="1" s="1"/>
  <c r="W22" i="1" a="1"/>
  <c r="W22" i="1" s="1"/>
  <c r="W27" i="1" a="1"/>
  <c r="W27" i="1" s="1"/>
  <c r="W6" i="1" a="1"/>
  <c r="W6" i="1" s="1"/>
  <c r="W5" i="1" a="1"/>
  <c r="W5" i="1" s="1"/>
  <c r="W34" i="1" a="1"/>
  <c r="W34" i="1" s="1"/>
  <c r="W8" i="1" a="1"/>
  <c r="W8" i="1" s="1"/>
  <c r="W24" i="1" a="1"/>
  <c r="W24" i="1" s="1"/>
  <c r="W7" i="1" a="1"/>
  <c r="W7" i="1" s="1"/>
  <c r="W29" i="1" a="1"/>
  <c r="W29" i="1" s="1"/>
  <c r="W30" i="1" a="1"/>
  <c r="W30" i="1" s="1"/>
  <c r="W10" i="1" a="1"/>
  <c r="W10" i="1" s="1"/>
  <c r="W26" i="1" a="1"/>
  <c r="W26" i="1" s="1"/>
  <c r="W9" i="1" a="1"/>
  <c r="W9" i="1" s="1"/>
  <c r="W33" i="1" a="1"/>
  <c r="W33" i="1" s="1"/>
  <c r="W38" i="1" a="1"/>
  <c r="W38" i="1" s="1"/>
  <c r="W12" i="1" a="1"/>
  <c r="W12" i="1" s="1"/>
  <c r="W15" i="1" a="1"/>
  <c r="W15" i="1" s="1"/>
  <c r="W11" i="1" a="1"/>
  <c r="W11" i="1" s="1"/>
  <c r="W35" i="1" a="1"/>
  <c r="W35" i="1" s="1"/>
  <c r="W40" i="1" a="1"/>
  <c r="W40" i="1" s="1"/>
  <c r="W14" i="1" a="1"/>
  <c r="W14" i="1" s="1"/>
  <c r="W13" i="1" a="1"/>
  <c r="W13" i="1" s="1"/>
  <c r="W37" i="1" a="1"/>
  <c r="W37" i="1" s="1"/>
  <c r="AB18" i="1" a="1"/>
  <c r="AB18" i="1" s="1"/>
  <c r="AB9" i="1" a="1"/>
  <c r="AB9" i="1" s="1"/>
  <c r="AB34" i="1" a="1"/>
  <c r="AB34" i="1" s="1"/>
  <c r="AB22" i="1" a="1"/>
  <c r="AB22" i="1" s="1"/>
  <c r="AB21" i="1" a="1"/>
  <c r="AB21" i="1" s="1"/>
  <c r="AB13" i="1" a="1"/>
  <c r="AB13" i="1" s="1"/>
  <c r="AB42" i="1" a="1"/>
  <c r="AB42" i="1" s="1"/>
  <c r="AB38" i="1" a="1"/>
  <c r="AB38" i="1" s="1"/>
  <c r="AB24" i="1" a="1"/>
  <c r="AB24" i="1" s="1"/>
  <c r="AB25" i="1" a="1"/>
  <c r="AB25" i="1" s="1"/>
  <c r="AB17" i="1" a="1"/>
  <c r="AB17" i="1" s="1"/>
  <c r="AB43" i="1" a="1"/>
  <c r="AB43" i="1" s="1"/>
  <c r="AB4" i="1" a="1"/>
  <c r="AB4" i="1" s="1"/>
  <c r="AB28" i="1" a="1"/>
  <c r="AB28" i="1" s="1"/>
  <c r="AB29" i="1" a="1"/>
  <c r="AB29" i="1" s="1"/>
  <c r="AB19" i="1" a="1"/>
  <c r="AB19" i="1" s="1"/>
  <c r="AB44" i="1" a="1"/>
  <c r="AB44" i="1" s="1"/>
  <c r="AB12" i="1" a="1"/>
  <c r="AB12" i="1" s="1"/>
  <c r="AB32" i="1" a="1"/>
  <c r="AB32" i="1" s="1"/>
  <c r="AB23" i="1" a="1"/>
  <c r="AB23" i="1" s="1"/>
  <c r="AB6" i="1" a="1"/>
  <c r="AB6" i="1" s="1"/>
  <c r="AB33" i="1" a="1"/>
  <c r="AB33" i="1" s="1"/>
  <c r="AB41" i="1" a="1"/>
  <c r="AB41" i="1" s="1"/>
  <c r="AB16" i="1" a="1"/>
  <c r="AB16" i="1" s="1"/>
  <c r="AB8" i="1" a="1"/>
  <c r="AB8" i="1" s="1"/>
  <c r="AB36" i="1" a="1"/>
  <c r="AB36" i="1" s="1"/>
  <c r="AB37" i="1" a="1"/>
  <c r="AB37" i="1" s="1"/>
  <c r="AB27" i="1" a="1"/>
  <c r="AB27" i="1" s="1"/>
  <c r="AB20" i="1" a="1"/>
  <c r="AB20" i="1" s="1"/>
  <c r="AB10" i="1" a="1"/>
  <c r="AB10" i="1" s="1"/>
  <c r="AB40" i="1" a="1"/>
  <c r="AB40" i="1" s="1"/>
  <c r="AB5" i="1" a="1"/>
  <c r="AB5" i="1" s="1"/>
  <c r="AB31" i="1" a="1"/>
  <c r="AB31" i="1" s="1"/>
  <c r="AB26" i="1" a="1"/>
  <c r="AB26" i="1" s="1"/>
  <c r="AB14" i="1" a="1"/>
  <c r="AB14" i="1" s="1"/>
  <c r="AB11" i="1" a="1"/>
  <c r="AB11" i="1" s="1"/>
  <c r="AB7" i="1" a="1"/>
  <c r="AB7" i="1" s="1"/>
  <c r="AB35" i="1" a="1"/>
  <c r="AB35" i="1" s="1"/>
  <c r="AB30" i="1" a="1"/>
  <c r="AB30" i="1" s="1"/>
  <c r="AB15" i="1" a="1"/>
  <c r="AB15" i="1" s="1"/>
  <c r="AB39" i="1" a="1"/>
  <c r="AB39" i="1" s="1"/>
  <c r="AB3" i="1" a="1"/>
  <c r="AB3" i="1" s="1"/>
  <c r="AA10" i="1" a="1"/>
  <c r="AA10" i="1" s="1"/>
  <c r="AA35" i="1" a="1"/>
  <c r="AA35" i="1" s="1"/>
  <c r="AA36" i="1" a="1"/>
  <c r="AA36" i="1" s="1"/>
  <c r="AA12" i="1" a="1"/>
  <c r="AA12" i="1" s="1"/>
  <c r="AA13" i="1" a="1"/>
  <c r="AA13" i="1" s="1"/>
  <c r="AA37" i="1" a="1"/>
  <c r="AA37" i="1" s="1"/>
  <c r="AA31" i="1" a="1"/>
  <c r="AA31" i="1" s="1"/>
  <c r="AA42" i="1" a="1"/>
  <c r="AA42" i="1" s="1"/>
  <c r="AA14" i="1" a="1"/>
  <c r="AA14" i="1" s="1"/>
  <c r="AA17" i="1" a="1"/>
  <c r="AA17" i="1" s="1"/>
  <c r="AA5" i="1" a="1"/>
  <c r="AA5" i="1" s="1"/>
  <c r="AA39" i="1" a="1"/>
  <c r="AA39" i="1" s="1"/>
  <c r="AA28" i="1" a="1"/>
  <c r="AA28" i="1" s="1"/>
  <c r="AA16" i="1" a="1"/>
  <c r="AA16" i="1" s="1"/>
  <c r="AA21" i="1" a="1"/>
  <c r="AA21" i="1" s="1"/>
  <c r="AA7" i="1" a="1"/>
  <c r="AA7" i="1" s="1"/>
  <c r="AA40" i="1" a="1"/>
  <c r="AA40" i="1" s="1"/>
  <c r="AA30" i="1" a="1"/>
  <c r="AA30" i="1" s="1"/>
  <c r="AA18" i="1" a="1"/>
  <c r="AA18" i="1" s="1"/>
  <c r="AA9" i="1" a="1"/>
  <c r="AA9" i="1" s="1"/>
  <c r="AA41" i="1" a="1"/>
  <c r="AA41" i="1" s="1"/>
  <c r="AA23" i="1" a="1"/>
  <c r="AA23" i="1" s="1"/>
  <c r="AA34" i="1" a="1"/>
  <c r="AA34" i="1" s="1"/>
  <c r="AA4" i="1" a="1"/>
  <c r="AA4" i="1" s="1"/>
  <c r="AA20" i="1" a="1"/>
  <c r="AA20" i="1" s="1"/>
  <c r="AA27" i="1" a="1"/>
  <c r="AA27" i="1" s="1"/>
  <c r="AA11" i="1" a="1"/>
  <c r="AA11" i="1" s="1"/>
  <c r="AA43" i="1" a="1"/>
  <c r="AA43" i="1" s="1"/>
  <c r="AA38" i="1" a="1"/>
  <c r="AA38" i="1" s="1"/>
  <c r="AA6" i="1" a="1"/>
  <c r="AA6" i="1" s="1"/>
  <c r="AA22" i="1" a="1"/>
  <c r="AA22" i="1" s="1"/>
  <c r="AA29" i="1" a="1"/>
  <c r="AA29" i="1" s="1"/>
  <c r="AA15" i="1" a="1"/>
  <c r="AA15" i="1" s="1"/>
  <c r="AA32" i="1" a="1"/>
  <c r="AA32" i="1" s="1"/>
  <c r="AA8" i="1" a="1"/>
  <c r="AA8" i="1" s="1"/>
  <c r="AA24" i="1" a="1"/>
  <c r="AA24" i="1" s="1"/>
  <c r="AA33" i="1" a="1"/>
  <c r="AA33" i="1" s="1"/>
  <c r="AA19" i="1" a="1"/>
  <c r="AA19" i="1" s="1"/>
  <c r="AA44" i="1" a="1"/>
  <c r="AA44" i="1" s="1"/>
  <c r="AA26" i="1" a="1"/>
  <c r="AA26" i="1" s="1"/>
  <c r="AA25" i="1" a="1"/>
  <c r="AA25" i="1" s="1"/>
  <c r="AA3" i="1" a="1"/>
  <c r="AA3" i="1" s="1"/>
  <c r="Z7" i="1" a="1"/>
  <c r="Z7" i="1" s="1"/>
  <c r="Z19" i="1" a="1"/>
  <c r="Z19" i="1" s="1"/>
  <c r="Z9" i="1" a="1"/>
  <c r="Z9" i="1" s="1"/>
  <c r="Z35" i="1" a="1"/>
  <c r="Z35" i="1" s="1"/>
  <c r="Z36" i="1" a="1"/>
  <c r="Z36" i="1" s="1"/>
  <c r="Z26" i="1" a="1"/>
  <c r="Z26" i="1" s="1"/>
  <c r="Z25" i="1" a="1"/>
  <c r="Z25" i="1" s="1"/>
  <c r="Z11" i="1" a="1"/>
  <c r="Z11" i="1" s="1"/>
  <c r="Z39" i="1" a="1"/>
  <c r="Z39" i="1" s="1"/>
  <c r="Z4" i="1" a="1"/>
  <c r="Z4" i="1" s="1"/>
  <c r="Z30" i="1" a="1"/>
  <c r="Z30" i="1" s="1"/>
  <c r="Z29" i="1" a="1"/>
  <c r="Z29" i="1" s="1"/>
  <c r="Z13" i="1" a="1"/>
  <c r="Z13" i="1" s="1"/>
  <c r="Z14" i="1" a="1"/>
  <c r="Z14" i="1" s="1"/>
  <c r="Z6" i="1" a="1"/>
  <c r="Z6" i="1" s="1"/>
  <c r="Z34" i="1" a="1"/>
  <c r="Z34" i="1" s="1"/>
  <c r="Z33" i="1" a="1"/>
  <c r="Z33" i="1" s="1"/>
  <c r="Z18" i="1" a="1"/>
  <c r="Z18" i="1" s="1"/>
  <c r="Z8" i="1" a="1"/>
  <c r="Z8" i="1" s="1"/>
  <c r="Z44" i="1" a="1"/>
  <c r="Z44" i="1" s="1"/>
  <c r="Z17" i="1" a="1"/>
  <c r="Z17" i="1" s="1"/>
  <c r="Z37" i="1" a="1"/>
  <c r="Z37" i="1" s="1"/>
  <c r="Z21" i="1" a="1"/>
  <c r="Z21" i="1" s="1"/>
  <c r="Z20" i="1" a="1"/>
  <c r="Z20" i="1" s="1"/>
  <c r="Z10" i="1" a="1"/>
  <c r="Z10" i="1" s="1"/>
  <c r="Z42" i="1" a="1"/>
  <c r="Z42" i="1" s="1"/>
  <c r="Z41" i="1" a="1"/>
  <c r="Z41" i="1" s="1"/>
  <c r="Z23" i="1" a="1"/>
  <c r="Z23" i="1" s="1"/>
  <c r="Z24" i="1" a="1"/>
  <c r="Z24" i="1" s="1"/>
  <c r="Z12" i="1" a="1"/>
  <c r="Z12" i="1" s="1"/>
  <c r="Z43" i="1" a="1"/>
  <c r="Z43" i="1" s="1"/>
  <c r="Z5" i="1" a="1"/>
  <c r="Z5" i="1" s="1"/>
  <c r="Z27" i="1" a="1"/>
  <c r="Z27" i="1" s="1"/>
  <c r="Z28" i="1" a="1"/>
  <c r="Z28" i="1" s="1"/>
  <c r="Z16" i="1" a="1"/>
  <c r="Z16" i="1" s="1"/>
  <c r="Z38" i="1" a="1"/>
  <c r="Z38" i="1" s="1"/>
  <c r="Z3" i="1" a="1"/>
  <c r="Z3" i="1" s="1"/>
  <c r="Z15" i="1" a="1"/>
  <c r="Z15" i="1" s="1"/>
  <c r="Z31" i="1" a="1"/>
  <c r="Z31" i="1" s="1"/>
  <c r="Z32" i="1" a="1"/>
  <c r="Z32" i="1" s="1"/>
  <c r="Z22" i="1" a="1"/>
  <c r="Z22" i="1" s="1"/>
  <c r="Z40" i="1" a="1"/>
  <c r="Z40" i="1" s="1"/>
  <c r="Y26" i="1" a="1"/>
  <c r="Y26" i="1" s="1"/>
  <c r="Y40" i="1" a="1"/>
  <c r="Y40" i="1" s="1"/>
  <c r="Y5" i="1" a="1"/>
  <c r="Y5" i="1" s="1"/>
  <c r="Y21" i="1" a="1"/>
  <c r="Y21" i="1" s="1"/>
  <c r="Y28" i="1" a="1"/>
  <c r="Y28" i="1" s="1"/>
  <c r="Y14" i="1" a="1"/>
  <c r="Y14" i="1" s="1"/>
  <c r="Y37" i="1" a="1"/>
  <c r="Y37" i="1" s="1"/>
  <c r="Y31" i="1" a="1"/>
  <c r="Y31" i="1" s="1"/>
  <c r="Y7" i="1" a="1"/>
  <c r="Y7" i="1" s="1"/>
  <c r="Y23" i="1" a="1"/>
  <c r="Y23" i="1" s="1"/>
  <c r="Y32" i="1" a="1"/>
  <c r="Y32" i="1" s="1"/>
  <c r="Y18" i="1" a="1"/>
  <c r="Y18" i="1" s="1"/>
  <c r="Y39" i="1" a="1"/>
  <c r="Y39" i="1" s="1"/>
  <c r="Y9" i="1" a="1"/>
  <c r="Y9" i="1" s="1"/>
  <c r="Y25" i="1" a="1"/>
  <c r="Y25" i="1" s="1"/>
  <c r="Y34" i="1" a="1"/>
  <c r="Y34" i="1" s="1"/>
  <c r="Y24" i="1" a="1"/>
  <c r="Y24" i="1" s="1"/>
  <c r="Y43" i="1" a="1"/>
  <c r="Y43" i="1" s="1"/>
  <c r="Y11" i="1" a="1"/>
  <c r="Y11" i="1" s="1"/>
  <c r="Y10" i="1" a="1"/>
  <c r="Y10" i="1" s="1"/>
  <c r="Y30" i="1" a="1"/>
  <c r="Y30" i="1" s="1"/>
  <c r="Y27" i="1" a="1"/>
  <c r="Y27" i="1" s="1"/>
  <c r="Y36" i="1" a="1"/>
  <c r="Y36" i="1" s="1"/>
  <c r="Y13" i="1" a="1"/>
  <c r="Y13" i="1" s="1"/>
  <c r="Y16" i="1" a="1"/>
  <c r="Y16" i="1" s="1"/>
  <c r="Y4" i="1" a="1"/>
  <c r="Y4" i="1" s="1"/>
  <c r="Y38" i="1" a="1"/>
  <c r="Y38" i="1" s="1"/>
  <c r="Y35" i="1" a="1"/>
  <c r="Y35" i="1" s="1"/>
  <c r="Y15" i="1" a="1"/>
  <c r="Y15" i="1" s="1"/>
  <c r="Y20" i="1" a="1"/>
  <c r="Y20" i="1" s="1"/>
  <c r="Y6" i="1" a="1"/>
  <c r="Y6" i="1" s="1"/>
  <c r="Y44" i="1" a="1"/>
  <c r="Y44" i="1" s="1"/>
  <c r="Y41" i="1" a="1"/>
  <c r="Y41" i="1" s="1"/>
  <c r="Y17" i="1" a="1"/>
  <c r="Y17" i="1" s="1"/>
  <c r="Y22" i="1" a="1"/>
  <c r="Y22" i="1" s="1"/>
  <c r="Y8" i="1" a="1"/>
  <c r="Y8" i="1" s="1"/>
  <c r="Y42" i="1" a="1"/>
  <c r="Y42" i="1" s="1"/>
  <c r="Y33" i="1" a="1"/>
  <c r="Y33" i="1" s="1"/>
  <c r="Y19" i="1" a="1"/>
  <c r="Y19" i="1" s="1"/>
  <c r="Y12" i="1" a="1"/>
  <c r="Y12" i="1" s="1"/>
  <c r="Y29" i="1" a="1"/>
  <c r="Y29" i="1" s="1"/>
  <c r="Y3" i="1" a="1"/>
  <c r="Y3" i="1" s="1"/>
  <c r="X38" i="1" a="1"/>
  <c r="X38" i="1" s="1"/>
  <c r="X29" i="1" a="1"/>
  <c r="X29" i="1" s="1"/>
  <c r="X8" i="1" a="1"/>
  <c r="X8" i="1" s="1"/>
  <c r="X33" i="1" a="1"/>
  <c r="X33" i="1" s="1"/>
  <c r="X42" i="1" a="1"/>
  <c r="X42" i="1" s="1"/>
  <c r="X5" i="1" a="1"/>
  <c r="X5" i="1" s="1"/>
  <c r="X24" i="1" a="1"/>
  <c r="X24" i="1" s="1"/>
  <c r="X12" i="1" a="1"/>
  <c r="X12" i="1" s="1"/>
  <c r="X9" i="1" a="1"/>
  <c r="X9" i="1" s="1"/>
  <c r="X7" i="1" a="1"/>
  <c r="X7" i="1" s="1"/>
  <c r="X28" i="1" a="1"/>
  <c r="X28" i="1" s="1"/>
  <c r="X16" i="1" a="1"/>
  <c r="X16" i="1" s="1"/>
  <c r="X13" i="1" a="1"/>
  <c r="X13" i="1" s="1"/>
  <c r="X11" i="1" a="1"/>
  <c r="X11" i="1" s="1"/>
  <c r="X43" i="1" a="1"/>
  <c r="X43" i="1" s="1"/>
  <c r="X3" i="1" a="1"/>
  <c r="X3" i="1" s="1"/>
  <c r="X20" i="1" a="1"/>
  <c r="X20" i="1" s="1"/>
  <c r="X17" i="1" a="1"/>
  <c r="X17" i="1" s="1"/>
  <c r="X41" i="1" a="1"/>
  <c r="X41" i="1" s="1"/>
  <c r="X39" i="1" a="1"/>
  <c r="X39" i="1" s="1"/>
  <c r="X44" i="1" a="1"/>
  <c r="X44" i="1" s="1"/>
  <c r="X32" i="1" a="1"/>
  <c r="X32" i="1" s="1"/>
  <c r="X15" i="1" a="1"/>
  <c r="X15" i="1" s="1"/>
  <c r="X19" i="1" a="1"/>
  <c r="X19" i="1" s="1"/>
  <c r="X36" i="1" a="1"/>
  <c r="X36" i="1" s="1"/>
  <c r="X26" i="1" a="1"/>
  <c r="X26" i="1" s="1"/>
  <c r="X23" i="1" a="1"/>
  <c r="X23" i="1" s="1"/>
  <c r="X10" i="1" a="1"/>
  <c r="X10" i="1" s="1"/>
  <c r="X40" i="1" a="1"/>
  <c r="X40" i="1" s="1"/>
  <c r="X30" i="1" a="1"/>
  <c r="X30" i="1" s="1"/>
  <c r="X27" i="1" a="1"/>
  <c r="X27" i="1" s="1"/>
  <c r="X21" i="1" a="1"/>
  <c r="X21" i="1" s="1"/>
  <c r="X37" i="1" a="1"/>
  <c r="X37" i="1" s="1"/>
  <c r="X14" i="1" a="1"/>
  <c r="X14" i="1" s="1"/>
  <c r="X4" i="1" a="1"/>
  <c r="X4" i="1" s="1"/>
  <c r="X34" i="1" a="1"/>
  <c r="X34" i="1" s="1"/>
  <c r="X31" i="1" a="1"/>
  <c r="X31" i="1" s="1"/>
  <c r="X25" i="1" a="1"/>
  <c r="X25" i="1" s="1"/>
  <c r="X18" i="1" a="1"/>
  <c r="X18" i="1" s="1"/>
  <c r="X6" i="1" a="1"/>
  <c r="X6" i="1" s="1"/>
  <c r="X35" i="1" a="1"/>
  <c r="X35" i="1" s="1"/>
  <c r="X22" i="1" a="1"/>
  <c r="X22" i="1" s="1"/>
  <c r="AC13" i="1" l="1"/>
  <c r="AC8" i="1"/>
  <c r="AC18" i="1"/>
  <c r="AC14" i="1"/>
  <c r="AC9" i="1"/>
  <c r="AC34" i="1"/>
  <c r="AC39" i="1"/>
  <c r="AC3" i="1"/>
  <c r="P17" i="1" s="1"/>
  <c r="AC40" i="1"/>
  <c r="AC26" i="1"/>
  <c r="AC5" i="1"/>
  <c r="AC20" i="1"/>
  <c r="AC36" i="1"/>
  <c r="AC35" i="1"/>
  <c r="AC10" i="1"/>
  <c r="AC6" i="1"/>
  <c r="AC4" i="1"/>
  <c r="AC42" i="1"/>
  <c r="AC11" i="1"/>
  <c r="AC27" i="1"/>
  <c r="AC17" i="1"/>
  <c r="AC30" i="1"/>
  <c r="AC43" i="1"/>
  <c r="AC15" i="1"/>
  <c r="AC29" i="1"/>
  <c r="AC22" i="1"/>
  <c r="AC32" i="1"/>
  <c r="AC25" i="1"/>
  <c r="AC12" i="1"/>
  <c r="AC7" i="1"/>
  <c r="AC44" i="1"/>
  <c r="AC21" i="1"/>
  <c r="AC16" i="1"/>
  <c r="AC37" i="1"/>
  <c r="AC38" i="1"/>
  <c r="AC24" i="1"/>
  <c r="AC41" i="1"/>
  <c r="AC31" i="1"/>
  <c r="AC28" i="1"/>
  <c r="AC33" i="1"/>
  <c r="AC23" i="1"/>
  <c r="AC19" i="1"/>
  <c r="P16" i="1"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<sst xmlns="http://schemas.openxmlformats.org/spreadsheetml/2006/main" count="2716" uniqueCount="293">
  <si>
    <t>File:</t>
  </si>
  <si>
    <t>Description of File:</t>
  </si>
  <si>
    <t>https://fredpink.com/</t>
  </si>
  <si>
    <t>Wrestler Name</t>
  </si>
  <si>
    <t>weight (in kg)</t>
  </si>
  <si>
    <t>height (in cm)</t>
  </si>
  <si>
    <t>height in inches</t>
  </si>
  <si>
    <t>height (feet)</t>
  </si>
  <si>
    <t>height (inches)</t>
  </si>
  <si>
    <t>Height (American)</t>
  </si>
  <si>
    <t>Weight (pounds)</t>
  </si>
  <si>
    <t>Tournaments won</t>
  </si>
  <si>
    <t>Rank for January 2022</t>
  </si>
  <si>
    <t>M17W</t>
  </si>
  <si>
    <t>Yokozuna</t>
  </si>
  <si>
    <t>M15W</t>
  </si>
  <si>
    <t>M18E</t>
  </si>
  <si>
    <t>M15E</t>
  </si>
  <si>
    <t>M17E</t>
  </si>
  <si>
    <t>M16E</t>
  </si>
  <si>
    <t>M13E</t>
  </si>
  <si>
    <t>M14E</t>
  </si>
  <si>
    <t>M02W</t>
  </si>
  <si>
    <t>M04E</t>
  </si>
  <si>
    <t>M03E</t>
  </si>
  <si>
    <t>M06W</t>
  </si>
  <si>
    <t>BMI</t>
  </si>
  <si>
    <t>M07E</t>
  </si>
  <si>
    <t>M10E</t>
  </si>
  <si>
    <t>M14W</t>
  </si>
  <si>
    <t>M03W</t>
  </si>
  <si>
    <t>Sekiwake</t>
  </si>
  <si>
    <t>M01W</t>
  </si>
  <si>
    <t>M04W</t>
  </si>
  <si>
    <t>M07W</t>
  </si>
  <si>
    <t>M08E</t>
  </si>
  <si>
    <t>M10W</t>
  </si>
  <si>
    <t>M13W</t>
  </si>
  <si>
    <t>M16W</t>
  </si>
  <si>
    <t>Ozeki</t>
  </si>
  <si>
    <t>M05W</t>
  </si>
  <si>
    <t>M11E</t>
  </si>
  <si>
    <t>Komusubi</t>
  </si>
  <si>
    <t>M12W</t>
  </si>
  <si>
    <t>M01E</t>
  </si>
  <si>
    <t>M09E</t>
  </si>
  <si>
    <t>M09W</t>
  </si>
  <si>
    <t>M05E</t>
  </si>
  <si>
    <t>M02E</t>
  </si>
  <si>
    <t>M08W</t>
  </si>
  <si>
    <t>M12E</t>
  </si>
  <si>
    <t>M11W</t>
  </si>
  <si>
    <t>Cluster</t>
  </si>
  <si>
    <t>Centroid</t>
  </si>
  <si>
    <t># of clusters</t>
  </si>
  <si>
    <t>Minkowski p</t>
  </si>
  <si>
    <t># of runs</t>
  </si>
  <si>
    <t>X 1</t>
  </si>
  <si>
    <t>X 2</t>
  </si>
  <si>
    <t>Dist^p</t>
  </si>
  <si>
    <t># of iter</t>
  </si>
  <si>
    <t>Converge</t>
  </si>
  <si>
    <t>Error</t>
  </si>
  <si>
    <t>6' 4.4"</t>
  </si>
  <si>
    <t>6' 3.6"</t>
  </si>
  <si>
    <t>6' 3.2"</t>
  </si>
  <si>
    <t>6' 2.8"</t>
  </si>
  <si>
    <t>6' 2.4"</t>
  </si>
  <si>
    <t>6' 2"</t>
  </si>
  <si>
    <t>6' 1.6"</t>
  </si>
  <si>
    <t>6' 0"</t>
  </si>
  <si>
    <t>6' 1.2"</t>
  </si>
  <si>
    <t>6' 0.8"</t>
  </si>
  <si>
    <t>6' 0.4"</t>
  </si>
  <si>
    <t>5' 11.7"</t>
  </si>
  <si>
    <t>5' 11.3"</t>
  </si>
  <si>
    <t>5' 10.9"</t>
  </si>
  <si>
    <t>5' 10.5"</t>
  </si>
  <si>
    <t>5' 10.1"</t>
  </si>
  <si>
    <t>5' 9.7"</t>
  </si>
  <si>
    <t>5' 9.3"</t>
  </si>
  <si>
    <t>5' 8.9"</t>
  </si>
  <si>
    <t>5' 7.7"</t>
  </si>
  <si>
    <t>5' 6.5"</t>
  </si>
  <si>
    <t>X 3</t>
  </si>
  <si>
    <t>Kaisei</t>
  </si>
  <si>
    <t>Terunofuji</t>
  </si>
  <si>
    <t>Tochinoshin</t>
  </si>
  <si>
    <t>Oho</t>
  </si>
  <si>
    <t>Ichinojo</t>
  </si>
  <si>
    <t>Okinoumi</t>
  </si>
  <si>
    <t>Aoiyama</t>
  </si>
  <si>
    <t>Tamawashi</t>
  </si>
  <si>
    <t>Abi</t>
  </si>
  <si>
    <t>Kotonowaka</t>
  </si>
  <si>
    <t>Hoshoryu</t>
  </si>
  <si>
    <t>Takayasu</t>
  </si>
  <si>
    <t>Myogiryu</t>
  </si>
  <si>
    <t>Ichiyamamoto</t>
  </si>
  <si>
    <t>Endo</t>
  </si>
  <si>
    <t>Wakamotoharu</t>
  </si>
  <si>
    <t>Takanosho</t>
  </si>
  <si>
    <t>Kiribayama</t>
  </si>
  <si>
    <t>Hokutofuji</t>
  </si>
  <si>
    <t>Takarafuji</t>
  </si>
  <si>
    <t>Hidenoumi</t>
  </si>
  <si>
    <t>Akua</t>
  </si>
  <si>
    <t>Yutakayama</t>
  </si>
  <si>
    <t>Tsurugisho</t>
  </si>
  <si>
    <t>Shodai</t>
  </si>
  <si>
    <t>Chiyoshoma</t>
  </si>
  <si>
    <t>Sadanoumi</t>
  </si>
  <si>
    <t>Daieisho</t>
  </si>
  <si>
    <t>Chiyotairyu</t>
  </si>
  <si>
    <t>Wakatakakage</t>
  </si>
  <si>
    <t>Chiyonokuni</t>
  </si>
  <si>
    <t>Mitakeumi</t>
  </si>
  <si>
    <t>Meisei</t>
  </si>
  <si>
    <t>Shimanoumi</t>
  </si>
  <si>
    <t>Chiyomaru</t>
  </si>
  <si>
    <t>Onosho</t>
  </si>
  <si>
    <t>Ura</t>
  </si>
  <si>
    <t>Kotoeko</t>
  </si>
  <si>
    <t>Takakeisho</t>
  </si>
  <si>
    <t>Tobizaru</t>
  </si>
  <si>
    <t>Ishiura</t>
  </si>
  <si>
    <t>Terutsuyoshi</t>
  </si>
  <si>
    <t>https://twitter.com/SumoFollower/status/1518933651962138624</t>
  </si>
  <si>
    <t>Sekitori weights are out! The previous time they were published was in August 2021. Terunofuji lost 3kg, now 181kg, Mitakeumi lost 5kg, now 169, Wakatkakage gained 1kg, now 131, Hoshoryu gained 9kg, now 141, Takayasu gained 7kg, now 184, Ichinojo gained 5kg, now 211.</t>
  </si>
  <si>
    <t>for January 2022 tournament</t>
  </si>
  <si>
    <t>Update for May 2022 tournament</t>
  </si>
  <si>
    <t>Rank for September 2022</t>
  </si>
  <si>
    <t>M01</t>
  </si>
  <si>
    <t>Midorifuji</t>
  </si>
  <si>
    <t>https://www.sumo.or.jp/EnHonbashoBanzuke/index/</t>
  </si>
  <si>
    <t>M07</t>
  </si>
  <si>
    <t>M02</t>
  </si>
  <si>
    <t>M03</t>
  </si>
  <si>
    <t>Nishikigi</t>
  </si>
  <si>
    <t>M04</t>
  </si>
  <si>
    <t>M05</t>
  </si>
  <si>
    <t>M06</t>
  </si>
  <si>
    <t>M08</t>
  </si>
  <si>
    <t>M09</t>
  </si>
  <si>
    <t>Nishikifuji</t>
  </si>
  <si>
    <t>M10</t>
  </si>
  <si>
    <t>Kotoshoho</t>
  </si>
  <si>
    <t>M11</t>
  </si>
  <si>
    <t>M12</t>
  </si>
  <si>
    <t>Ryuden</t>
  </si>
  <si>
    <t>M13</t>
  </si>
  <si>
    <t>M14</t>
  </si>
  <si>
    <t>M15</t>
  </si>
  <si>
    <t>Mitoryu</t>
  </si>
  <si>
    <t>M16</t>
  </si>
  <si>
    <t>Hiradoumi</t>
  </si>
  <si>
    <t>Rank value</t>
  </si>
  <si>
    <t>https://www.reddit.com/r/SumoMemes/comments/x7stvh/latest_rikishi_heightweight_table_from_nikkan/</t>
  </si>
  <si>
    <t>Original Data courtesy of Fred Pinkerton</t>
  </si>
  <si>
    <t>Update for September 2022</t>
  </si>
  <si>
    <t>Update for November 2022</t>
  </si>
  <si>
    <t>as of 6 Nov 2022</t>
  </si>
  <si>
    <t xml:space="preserve">https://www.sumo.or.jp/EnHonbashoBanzuke/index/ </t>
  </si>
  <si>
    <t>Rank for November 2022</t>
  </si>
  <si>
    <t>Notes</t>
  </si>
  <si>
    <t>just had knee surgery, will not be at November tournament</t>
  </si>
  <si>
    <t>Azumaryu</t>
  </si>
  <si>
    <t>Kagayaki</t>
  </si>
  <si>
    <t>Atamifuji</t>
  </si>
  <si>
    <t>J04</t>
  </si>
  <si>
    <t>J03</t>
  </si>
  <si>
    <t>rank by height</t>
  </si>
  <si>
    <t>rank by weight</t>
  </si>
  <si>
    <t>rank by BMI</t>
  </si>
  <si>
    <t>need to build up history of ranks</t>
  </si>
  <si>
    <t>Rank for January 2023</t>
  </si>
  <si>
    <t>Will be out for January 2023 tournament</t>
  </si>
  <si>
    <t>Current rank value</t>
  </si>
  <si>
    <t>heights and weights checked Jan 6, 2023</t>
  </si>
  <si>
    <t>retired</t>
  </si>
  <si>
    <t>J10</t>
  </si>
  <si>
    <t>weight in November (kg)</t>
  </si>
  <si>
    <t>Change</t>
  </si>
  <si>
    <t>Update for January 2023</t>
  </si>
  <si>
    <t>as of 6 Jan 2023</t>
  </si>
  <si>
    <t>Rank for March 2023</t>
  </si>
  <si>
    <t>M17</t>
  </si>
  <si>
    <t>J08</t>
  </si>
  <si>
    <t>Daishoho</t>
  </si>
  <si>
    <t>Kinbozan</t>
  </si>
  <si>
    <t>Bushozan</t>
  </si>
  <si>
    <t>Hokuseiho</t>
  </si>
  <si>
    <t>J02</t>
  </si>
  <si>
    <t>retired January 2023</t>
  </si>
  <si>
    <t>Ms01</t>
  </si>
  <si>
    <t>Height went from 185 to 188?</t>
  </si>
  <si>
    <t>Height went from 183 to 182?</t>
  </si>
  <si>
    <t>heights and weights checked Mar 5, 2023?</t>
  </si>
  <si>
    <t>height went up from 186 to 187</t>
  </si>
  <si>
    <t>height went up from 183 to 184</t>
  </si>
  <si>
    <t>height went from 187 to 186</t>
  </si>
  <si>
    <t>height went from 187 to 188</t>
  </si>
  <si>
    <t>height went from 184 to 185</t>
  </si>
  <si>
    <t>height went from 178 to 177</t>
  </si>
  <si>
    <t>height went from 189 up to 191</t>
  </si>
  <si>
    <t>height went from 183 to 184</t>
  </si>
  <si>
    <t>height went from 186 to 188</t>
  </si>
  <si>
    <t>height went from 189 to 188</t>
  </si>
  <si>
    <t>height went from 190 to 191</t>
  </si>
  <si>
    <t>height went from 184 to 183</t>
  </si>
  <si>
    <t>height went from 191 to 192</t>
  </si>
  <si>
    <t>height went from 189 to 190</t>
  </si>
  <si>
    <t>height went from 190 to 189</t>
  </si>
  <si>
    <t>height went from 177 to 178</t>
  </si>
  <si>
    <t>Update for March 2023</t>
  </si>
  <si>
    <t>as of 5 Mar 2023</t>
  </si>
  <si>
    <t>height in January (cm)</t>
  </si>
  <si>
    <t>Day 14 record</t>
  </si>
  <si>
    <t>OUT</t>
  </si>
  <si>
    <t>Label</t>
  </si>
  <si>
    <t>7-6</t>
  </si>
  <si>
    <t>9-4</t>
  </si>
  <si>
    <t>10-3</t>
  </si>
  <si>
    <t>11-2</t>
  </si>
  <si>
    <t>4-9</t>
  </si>
  <si>
    <t>8-5</t>
  </si>
  <si>
    <t>3-10</t>
  </si>
  <si>
    <t>8-12</t>
  </si>
  <si>
    <t>5-8</t>
  </si>
  <si>
    <t>6-7</t>
  </si>
  <si>
    <t>Rank for May 2023</t>
  </si>
  <si>
    <t>Asanoyama</t>
  </si>
  <si>
    <t>J05</t>
  </si>
  <si>
    <t>Ms05</t>
  </si>
  <si>
    <t>heights and weights checked May 6, 2023</t>
  </si>
  <si>
    <t>Update for May 2023</t>
  </si>
  <si>
    <t>as of 6 May 2023</t>
  </si>
  <si>
    <t>Rank for July 2023</t>
  </si>
  <si>
    <t>Notes for July 2023</t>
  </si>
  <si>
    <t>Kirishima</t>
  </si>
  <si>
    <t>Changed shikona from Kiribayama to Kirishima</t>
  </si>
  <si>
    <t>J01</t>
  </si>
  <si>
    <t>Gonoyama</t>
  </si>
  <si>
    <t>Shonannoumi</t>
  </si>
  <si>
    <t>Hakuoho</t>
  </si>
  <si>
    <t>J06</t>
  </si>
  <si>
    <t>J11</t>
  </si>
  <si>
    <t>heights and weights checked July 2, 2023 -- there may not have been a weigh-in for Nagoya, so it looks like all the weights are same as last time</t>
  </si>
  <si>
    <t>Trump (reported)</t>
  </si>
  <si>
    <t>Rank for September 2023</t>
  </si>
  <si>
    <t>Notes for September 2023</t>
  </si>
  <si>
    <t>heights and weights checked 8/27/2023 -- there seems to be no change since the July banzuke</t>
  </si>
  <si>
    <t>one of the few weight measurements that changed from July - 2kg change in weight</t>
  </si>
  <si>
    <t>https://conning-my.sharepoint.com/personal/marypat_campbell_conning_com/Documents/Documents/STUMP writing/sumo/[September_2023_Grand_Sumo_Tournament_Height_And_Weight mpc update.xlsx]Documentation Information</t>
  </si>
  <si>
    <t>Update for September 2023</t>
  </si>
  <si>
    <t>as of August 27, 2023</t>
  </si>
  <si>
    <t>heights and weights checked 9/3/2023 -- there was a re-weigh after the banzuke announcement on 8/27</t>
  </si>
  <si>
    <t>-4 kg from July</t>
  </si>
  <si>
    <t>no change</t>
  </si>
  <si>
    <t>+2 kg from July</t>
  </si>
  <si>
    <t>-2 kg, but also 1 cm shorter than July stats</t>
  </si>
  <si>
    <t>-2Kg</t>
  </si>
  <si>
    <t>+3 kg</t>
  </si>
  <si>
    <t>+4 kg</t>
  </si>
  <si>
    <t>-6 kg!!</t>
  </si>
  <si>
    <t>-1cm in height, same weight</t>
  </si>
  <si>
    <t>+1 kg</t>
  </si>
  <si>
    <t>+2 kg</t>
  </si>
  <si>
    <t>+4 kg, -1 cm</t>
  </si>
  <si>
    <t>-1kg, -1cm</t>
  </si>
  <si>
    <t>-1kg, +1cm</t>
  </si>
  <si>
    <t>+1cm</t>
  </si>
  <si>
    <t>+2kg, +1cm</t>
  </si>
  <si>
    <t>+5kg</t>
  </si>
  <si>
    <t>-6kg</t>
  </si>
  <si>
    <t>-1kg,+3cm -- uh, what on the height?</t>
  </si>
  <si>
    <t>-1kg,+1cm</t>
  </si>
  <si>
    <t>-2kg</t>
  </si>
  <si>
    <t>-1kg</t>
  </si>
  <si>
    <t>+5kg, +1cm</t>
  </si>
  <si>
    <t>+4kg, -1cm</t>
  </si>
  <si>
    <t>+2kg</t>
  </si>
  <si>
    <t>-5kg, +1cm</t>
  </si>
  <si>
    <t>+1kg, +1cm</t>
  </si>
  <si>
    <t>-4kg</t>
  </si>
  <si>
    <t>+3kg, -1cm</t>
  </si>
  <si>
    <t>-7kg</t>
  </si>
  <si>
    <t>haven't updated yet</t>
  </si>
  <si>
    <t>weight change from July (kg)</t>
  </si>
  <si>
    <t>height change from July data set (cm)</t>
  </si>
  <si>
    <t>Change in weight in kg</t>
  </si>
  <si>
    <t>Number of wrestlers</t>
  </si>
  <si>
    <t>Change in height in cm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</si>
</sst>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font>
      <sz val="11"/>
      <color theme="1"/>
      <name val="Calibri"/>
      <family val="2"/>
      <scheme val="minor"/>
    </font>
    <font>
      <sz val="10"/>
      <color theme="1"/>
      <name val="Liberation Sans"/>
    </font>
    <font>
      <b/>
      <u/>
      <sz val="11"/>
      <color theme="1"/>
      <name val="Calibri"/>
      <family val="2"/>
      <scheme val="minor"/>
    </font>
    <font>
      <u/>
      <sz val="11"/>
      <color theme="10"/>
      <name val="Calibri"/>
      <family val="2"/>
      <scheme val="minor"/>
    </font>
    <font>
      <sz val="17"/>
      <color rgb="FF0F1419"/>
      <name val="Segoe UI"/>
      <family val="2"/>
    </font>
  </fonts>
  <fills count="10">
    <fill>
      <patternFill patternType="none"/>
    </fill>
    <fill>
      <patternFill patternType="gray125"/>
    </fill>
    <fill>
      <patternFill patternType="solid">
        <fgColor theme="9" tint="0.89999084444715716"/>
        <bgColor indexed="64"/>
      </patternFill>
    </fill>
    <fill>
      <patternFill patternType="solid">
        <fgColor rgb="FFFFC000"/>
        <bgColor indexed="64"/>
      </patternFill>
    </fill>
    <fill>
      <patternFill patternType="solid">
        <fgColor theme="5"/>
        <bgColor indexed="64"/>
      </patternFill>
    </fill>
    <fill>
      <patternFill patternType="solid">
        <fgColor theme="4"/>
        <bgColor indexed="64"/>
      </patternFill>
    </fill>
    <fill>
      <patternFill patternType="solid">
        <fgColor theme="4" tint="-0.249977111117893"/>
        <bgColor indexed="64"/>
      </patternFill>
    </fill>
    <fill>
      <patternFill patternType="solid">
        <fgColor rgb="FF92D050"/>
        <bgColor indexed="64"/>
      </patternFill>
    </fill>
    <fill>
      <patternFill patternType="solid">
        <fgColor rgb="FFFFFF00"/>
        <bgColor indexed="64"/>
      </patternFill>
    </fill>
    <fill>
      <patternFill patternType="solid">
        <fgColor theme="5" tint="0.39997558519241921"/>
        <bgColor indexed="64"/>
      </patternFill>
    </fill>
  </fills>
  <borders count="10">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s>
  <cellStyleXfs count="2">
    <xf numFmtId="0" fontId="0" fillId="0" borderId="0"/>
    <xf numFmtId="0" fontId="3" fillId="0" borderId="0" applyNumberFormat="0" applyFill="0" applyBorder="0" applyAlignment="0" applyProtection="0"/>
  </cellStyleXfs>
  <cellXfs count="36">
    <xf numFmtId="0" fontId="0" fillId="0" borderId="0" xfId="0"/>
    <xf numFmtId="0" fontId="1" fillId="0" borderId="0" xfId="0" applyFont="1" applyAlignment="1">
      <alignment horizontal="left" vertical="center" wrapText="1"/>
    </xf>
    <xf numFmtId="0" fontId="1" fillId="0" borderId="0" xfId="0" applyFont="1" applyAlignment="1">
      <alignment horizontal="right" vertical="center" wrapText="1"/>
    </xf>
    <xf numFmtId="0" fontId="2" fillId="0" borderId="0" xfId="0" applyFont="1"/>
    <xf numFmtId="2" fontId="0" fillId="0" borderId="0" xfId="0" applyNumberFormat="1"/>
    <xf numFmtId="2" fontId="1" fillId="0" borderId="0" xfId="0" applyNumberFormat="1" applyFont="1" applyAlignment="1">
      <alignment horizontal="right" vertical="center" wrapText="1"/>
    </xf>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0" xfId="0" applyAlignment="1">
      <alignment horizontal="right"/>
    </xf>
    <xf numFmtId="0" fontId="0" fillId="0" borderId="0" xfId="0" applyAlignment="1">
      <alignment horizontal="center"/>
    </xf>
    <xf numFmtId="0" fontId="0" fillId="0" borderId="9" xfId="0" applyBorder="1"/>
    <xf numFmtId="0" fontId="3" fillId="0" borderId="0" xfId="1"/>
    <xf numFmtId="0" fontId="4" fillId="0" borderId="0" xfId="0" applyFont="1"/>
    <xf numFmtId="0" fontId="1" fillId="2" borderId="0" xfId="0" applyFont="1" applyFill="1" applyAlignment="1">
      <alignment horizontal="right" vertical="center" wrapText="1"/>
    </xf>
    <xf numFmtId="0" fontId="0" fillId="2" borderId="0" xfId="0" applyFill="1"/>
    <xf numFmtId="16" fontId="0" fillId="0" borderId="0" xfId="0" quotePrefix="1" applyNumberFormat="1"/>
    <xf numFmtId="0" fontId="0" fillId="0" borderId="0" xfId="0" quotePrefix="1"/>
    <xf numFmtId="0" fontId="1" fillId="3" borderId="0" xfId="0" applyFont="1" applyFill="1" applyAlignment="1">
      <alignment horizontal="right" vertical="center" wrapText="1"/>
    </xf>
    <xf numFmtId="0" fontId="0" fillId="3" borderId="0" xfId="0" applyFill="1"/>
    <xf numFmtId="0" fontId="1" fillId="4" borderId="0" xfId="0" applyFont="1" applyFill="1" applyAlignment="1">
      <alignment horizontal="right" vertical="center" wrapText="1"/>
    </xf>
    <xf numFmtId="0" fontId="1" fillId="5" borderId="0" xfId="0" applyFont="1" applyFill="1" applyAlignment="1">
      <alignment horizontal="right" vertical="center" wrapText="1"/>
    </xf>
    <xf numFmtId="0" fontId="1" fillId="6" borderId="0" xfId="0" applyFont="1" applyFill="1" applyAlignment="1">
      <alignment horizontal="right" vertical="center" wrapText="1"/>
    </xf>
    <xf numFmtId="0" fontId="1" fillId="7" borderId="0" xfId="0" applyFont="1" applyFill="1" applyAlignment="1">
      <alignment horizontal="right" vertical="center" wrapText="1"/>
    </xf>
    <xf numFmtId="0" fontId="0" fillId="7" borderId="0" xfId="0" applyFill="1"/>
    <xf numFmtId="0" fontId="1" fillId="8" borderId="0" xfId="0" applyFont="1" applyFill="1" applyAlignment="1">
      <alignment horizontal="right" vertical="center" wrapText="1"/>
    </xf>
    <xf numFmtId="0" fontId="1" fillId="0" borderId="0" xfId="0" quotePrefix="1" applyFont="1" applyAlignment="1">
      <alignment horizontal="left" vertical="center" wrapText="1"/>
    </xf>
    <xf numFmtId="0" fontId="1" fillId="9" borderId="0" xfId="0" applyFont="1" applyFill="1" applyAlignment="1">
      <alignment horizontal="right" vertical="center" wrapText="1"/>
    </xf>
    <xf numFmtId="0" fontId="0" fillId="9" borderId="0" xfId="0" applyFill="1"/>
    <xf numFmtId="0" fontId="0" fillId="0" borderId="0" xfId="0" applyAlignment="1">
      <alignment wrapText="1"/>
    </xf>
    <xf numFmtId="2" fontId="0" fillId="0" borderId="0" xfId="0" applyNumberFormat="1" applyAlignment="1">
      <alignment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5.xml"/><Relationship Id="rId18" Type="http://schemas.openxmlformats.org/officeDocument/2006/relationships/worksheet" Target="worksheets/sheet9.xml"/><Relationship Id="rId26" Type="http://schemas.openxmlformats.org/officeDocument/2006/relationships/chartsheet" Target="chartsheets/sheet14.xml"/><Relationship Id="rId3" Type="http://schemas.openxmlformats.org/officeDocument/2006/relationships/chartsheet" Target="chartsheets/sheet3.xml"/><Relationship Id="rId21" Type="http://schemas.openxmlformats.org/officeDocument/2006/relationships/worksheet" Target="worksheets/sheet11.xml"/><Relationship Id="rId7" Type="http://schemas.openxmlformats.org/officeDocument/2006/relationships/chartsheet" Target="chartsheets/sheet6.xml"/><Relationship Id="rId12" Type="http://schemas.openxmlformats.org/officeDocument/2006/relationships/worksheet" Target="worksheets/sheet4.xml"/><Relationship Id="rId17" Type="http://schemas.openxmlformats.org/officeDocument/2006/relationships/worksheet" Target="worksheets/sheet8.xml"/><Relationship Id="rId25" Type="http://schemas.openxmlformats.org/officeDocument/2006/relationships/chartsheet" Target="chartsheets/sheet13.xml"/><Relationship Id="rId33" Type="http://schemas.openxmlformats.org/officeDocument/2006/relationships/calcChain" Target="calcChain.xml"/><Relationship Id="rId2" Type="http://schemas.openxmlformats.org/officeDocument/2006/relationships/chartsheet" Target="chartsheets/sheet2.xml"/><Relationship Id="rId16" Type="http://schemas.openxmlformats.org/officeDocument/2006/relationships/chartsheet" Target="chartsheets/sheet9.xml"/><Relationship Id="rId20" Type="http://schemas.openxmlformats.org/officeDocument/2006/relationships/worksheet" Target="worksheets/sheet10.xml"/><Relationship Id="rId29" Type="http://schemas.openxmlformats.org/officeDocument/2006/relationships/theme" Target="theme/theme1.xml"/><Relationship Id="rId1" Type="http://schemas.openxmlformats.org/officeDocument/2006/relationships/chartsheet" Target="chartsheets/sheet1.xml"/><Relationship Id="rId6" Type="http://schemas.openxmlformats.org/officeDocument/2006/relationships/worksheet" Target="worksheets/sheet1.xml"/><Relationship Id="rId11" Type="http://schemas.openxmlformats.org/officeDocument/2006/relationships/worksheet" Target="worksheets/sheet3.xml"/><Relationship Id="rId24" Type="http://schemas.openxmlformats.org/officeDocument/2006/relationships/worksheet" Target="worksheets/sheet12.xml"/><Relationship Id="rId32" Type="http://schemas.openxmlformats.org/officeDocument/2006/relationships/sheetMetadata" Target="metadata.xml"/><Relationship Id="rId5" Type="http://schemas.openxmlformats.org/officeDocument/2006/relationships/chartsheet" Target="chartsheets/sheet5.xml"/><Relationship Id="rId15" Type="http://schemas.openxmlformats.org/officeDocument/2006/relationships/worksheet" Target="worksheets/sheet7.xml"/><Relationship Id="rId23" Type="http://schemas.openxmlformats.org/officeDocument/2006/relationships/chartsheet" Target="chartsheets/sheet12.xml"/><Relationship Id="rId28" Type="http://schemas.openxmlformats.org/officeDocument/2006/relationships/externalLink" Target="externalLinks/externalLink1.xml"/><Relationship Id="rId10" Type="http://schemas.openxmlformats.org/officeDocument/2006/relationships/worksheet" Target="worksheets/sheet2.xml"/><Relationship Id="rId19" Type="http://schemas.openxmlformats.org/officeDocument/2006/relationships/chartsheet" Target="chartsheets/sheet10.xml"/><Relationship Id="rId31" Type="http://schemas.openxmlformats.org/officeDocument/2006/relationships/sharedStrings" Target="sharedStrings.xml"/><Relationship Id="rId4" Type="http://schemas.openxmlformats.org/officeDocument/2006/relationships/chartsheet" Target="chartsheets/sheet4.xml"/><Relationship Id="rId9" Type="http://schemas.openxmlformats.org/officeDocument/2006/relationships/chartsheet" Target="chartsheets/sheet8.xml"/><Relationship Id="rId14" Type="http://schemas.openxmlformats.org/officeDocument/2006/relationships/worksheet" Target="worksheets/sheet6.xml"/><Relationship Id="rId22" Type="http://schemas.openxmlformats.org/officeDocument/2006/relationships/chartsheet" Target="chartsheets/sheet11.xml"/><Relationship Id="rId27" Type="http://schemas.openxmlformats.org/officeDocument/2006/relationships/worksheet" Target="worksheets/sheet13.xml"/><Relationship Id="rId30" Type="http://schemas.openxmlformats.org/officeDocument/2006/relationships/styles" Target="styles.xml"/><Relationship Id="rId8" Type="http://schemas.openxmlformats.org/officeDocument/2006/relationships/chartsheet" Target="chartsheets/sheet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58440380385571E-2"/>
          <c:y val="7.4949572770744155E-2"/>
          <c:w val="0.89687480419277577"/>
          <c:h val="0.85594431898299383"/>
        </c:manualLayout>
      </c:layout>
      <c:scatterChart>
        <c:scatterStyle val="lineMarker"/>
        <c:varyColors val="0"/>
        <c:ser>
          <c:idx val="0"/>
          <c:order val="0"/>
          <c:tx>
            <c:v>January 2022 Makuuchi Wrestlers</c:v>
          </c:tx>
          <c:spPr>
            <a:ln w="25400" cap="rnd">
              <a:noFill/>
              <a:round/>
            </a:ln>
            <a:effectLst/>
          </c:spPr>
          <c:marker>
            <c:symbol val="circle"/>
            <c:size val="5"/>
            <c:spPr>
              <a:solidFill>
                <a:schemeClr val="accent3"/>
              </a:solidFill>
              <a:ln w="9525">
                <a:solidFill>
                  <a:schemeClr val="accent5"/>
                </a:solidFill>
              </a:ln>
              <a:effectLst/>
            </c:spPr>
          </c:marker>
          <c:dLbls>
            <c:dLbl>
              <c:idx val="0"/>
              <c:tx>
                <c:rich>
                  <a:bodyPr/>
                  <a:lstStyle/>
                  <a:p>
                    <a:fld id="{A4609D00-933F-4623-A610-B8C4AC7CA8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E0C-4F86-9CDA-8C26B98E7B10}"/>
                </c:ext>
              </c:extLst>
            </c:dLbl>
            <c:dLbl>
              <c:idx val="1"/>
              <c:tx>
                <c:rich>
                  <a:bodyPr/>
                  <a:lstStyle/>
                  <a:p>
                    <a:fld id="{B0B8FC41-1CDE-4ADA-8C8B-69C7E8C37C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E0C-4F86-9CDA-8C26B98E7B10}"/>
                </c:ext>
              </c:extLst>
            </c:dLbl>
            <c:dLbl>
              <c:idx val="2"/>
              <c:tx>
                <c:rich>
                  <a:bodyPr/>
                  <a:lstStyle/>
                  <a:p>
                    <a:fld id="{2698CB37-CF60-4EEA-9130-9E82C3F388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E0C-4F86-9CDA-8C26B98E7B10}"/>
                </c:ext>
              </c:extLst>
            </c:dLbl>
            <c:dLbl>
              <c:idx val="3"/>
              <c:tx>
                <c:rich>
                  <a:bodyPr/>
                  <a:lstStyle/>
                  <a:p>
                    <a:fld id="{B432B294-2042-4B63-8AAA-AAC3596A72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E0C-4F86-9CDA-8C26B98E7B10}"/>
                </c:ext>
              </c:extLst>
            </c:dLbl>
            <c:dLbl>
              <c:idx val="4"/>
              <c:tx>
                <c:rich>
                  <a:bodyPr/>
                  <a:lstStyle/>
                  <a:p>
                    <a:fld id="{89D3CE6B-5075-4A95-AB9A-C77DE955D1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E0C-4F86-9CDA-8C26B98E7B10}"/>
                </c:ext>
              </c:extLst>
            </c:dLbl>
            <c:dLbl>
              <c:idx val="5"/>
              <c:tx>
                <c:rich>
                  <a:bodyPr/>
                  <a:lstStyle/>
                  <a:p>
                    <a:fld id="{E4F6CE65-EC26-4567-8D6F-CC3C920617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E0C-4F86-9CDA-8C26B98E7B10}"/>
                </c:ext>
              </c:extLst>
            </c:dLbl>
            <c:dLbl>
              <c:idx val="6"/>
              <c:tx>
                <c:rich>
                  <a:bodyPr/>
                  <a:lstStyle/>
                  <a:p>
                    <a:fld id="{DE4618C5-52B2-409D-827F-9A8002FBCE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E0C-4F86-9CDA-8C26B98E7B10}"/>
                </c:ext>
              </c:extLst>
            </c:dLbl>
            <c:dLbl>
              <c:idx val="7"/>
              <c:tx>
                <c:rich>
                  <a:bodyPr/>
                  <a:lstStyle/>
                  <a:p>
                    <a:fld id="{2060D9B7-2EBF-4856-9EE0-004F403628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E0C-4F86-9CDA-8C26B98E7B10}"/>
                </c:ext>
              </c:extLst>
            </c:dLbl>
            <c:dLbl>
              <c:idx val="8"/>
              <c:tx>
                <c:rich>
                  <a:bodyPr/>
                  <a:lstStyle/>
                  <a:p>
                    <a:fld id="{7CEFCE72-C0C9-453B-9A1C-AF06FDE1EE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E0C-4F86-9CDA-8C26B98E7B10}"/>
                </c:ext>
              </c:extLst>
            </c:dLbl>
            <c:dLbl>
              <c:idx val="9"/>
              <c:tx>
                <c:rich>
                  <a:bodyPr/>
                  <a:lstStyle/>
                  <a:p>
                    <a:fld id="{B5A18CEA-BA52-45CA-9E53-BC43362587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E0C-4F86-9CDA-8C26B98E7B10}"/>
                </c:ext>
              </c:extLst>
            </c:dLbl>
            <c:dLbl>
              <c:idx val="10"/>
              <c:tx>
                <c:rich>
                  <a:bodyPr/>
                  <a:lstStyle/>
                  <a:p>
                    <a:fld id="{593E1D1B-8BB7-46D4-93F0-38BA9C0B3C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E0C-4F86-9CDA-8C26B98E7B10}"/>
                </c:ext>
              </c:extLst>
            </c:dLbl>
            <c:dLbl>
              <c:idx val="11"/>
              <c:tx>
                <c:rich>
                  <a:bodyPr/>
                  <a:lstStyle/>
                  <a:p>
                    <a:fld id="{F64D4C0D-D5AF-4557-BE8F-F87B055044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E0C-4F86-9CDA-8C26B98E7B10}"/>
                </c:ext>
              </c:extLst>
            </c:dLbl>
            <c:dLbl>
              <c:idx val="12"/>
              <c:tx>
                <c:rich>
                  <a:bodyPr/>
                  <a:lstStyle/>
                  <a:p>
                    <a:fld id="{5F9CAD62-51FE-447C-9D44-3EC65F88C6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E0C-4F86-9CDA-8C26B98E7B10}"/>
                </c:ext>
              </c:extLst>
            </c:dLbl>
            <c:dLbl>
              <c:idx val="13"/>
              <c:tx>
                <c:rich>
                  <a:bodyPr/>
                  <a:lstStyle/>
                  <a:p>
                    <a:fld id="{C58B9885-0686-4DD6-AE5F-68FB16BA61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E0C-4F86-9CDA-8C26B98E7B10}"/>
                </c:ext>
              </c:extLst>
            </c:dLbl>
            <c:dLbl>
              <c:idx val="14"/>
              <c:layout>
                <c:manualLayout>
                  <c:x val="2.3447824954601518E-2"/>
                  <c:y val="-1.8186739146311675E-2"/>
                </c:manualLayout>
              </c:layout>
              <c:tx>
                <c:rich>
                  <a:bodyPr/>
                  <a:lstStyle/>
                  <a:p>
                    <a:fld id="{C707F4CC-60F1-4B82-826C-7566F65F36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7E0C-4F86-9CDA-8C26B98E7B10}"/>
                </c:ext>
              </c:extLst>
            </c:dLbl>
            <c:dLbl>
              <c:idx val="15"/>
              <c:tx>
                <c:rich>
                  <a:bodyPr/>
                  <a:lstStyle/>
                  <a:p>
                    <a:fld id="{6F680AD9-55BA-47E4-B07C-A09C1515A4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E0C-4F86-9CDA-8C26B98E7B10}"/>
                </c:ext>
              </c:extLst>
            </c:dLbl>
            <c:dLbl>
              <c:idx val="16"/>
              <c:layout>
                <c:manualLayout>
                  <c:x val="-2.491331401426428E-2"/>
                  <c:y val="1.8186739146311602E-2"/>
                </c:manualLayout>
              </c:layout>
              <c:tx>
                <c:rich>
                  <a:bodyPr/>
                  <a:lstStyle/>
                  <a:p>
                    <a:fld id="{9751A674-188D-436F-B5F1-4949A3D4E2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7E0C-4F86-9CDA-8C26B98E7B10}"/>
                </c:ext>
              </c:extLst>
            </c:dLbl>
            <c:dLbl>
              <c:idx val="17"/>
              <c:tx>
                <c:rich>
                  <a:bodyPr/>
                  <a:lstStyle/>
                  <a:p>
                    <a:fld id="{CADEDAA9-B5E2-47D2-8F0F-A2314FC6A0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E0C-4F86-9CDA-8C26B98E7B10}"/>
                </c:ext>
              </c:extLst>
            </c:dLbl>
            <c:dLbl>
              <c:idx val="18"/>
              <c:tx>
                <c:rich>
                  <a:bodyPr/>
                  <a:lstStyle/>
                  <a:p>
                    <a:fld id="{C5417AE5-8B65-40CD-9A29-714C6744C1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E0C-4F86-9CDA-8C26B98E7B10}"/>
                </c:ext>
              </c:extLst>
            </c:dLbl>
            <c:dLbl>
              <c:idx val="19"/>
              <c:layout>
                <c:manualLayout>
                  <c:x val="6.4481518625154319E-2"/>
                  <c:y val="-1.0103743970173112E-2"/>
                </c:manualLayout>
              </c:layout>
              <c:tx>
                <c:rich>
                  <a:bodyPr/>
                  <a:lstStyle/>
                  <a:p>
                    <a:fld id="{0EC325F6-662E-4F37-9611-1C4B520CB4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7E0C-4F86-9CDA-8C26B98E7B10}"/>
                </c:ext>
              </c:extLst>
            </c:dLbl>
            <c:dLbl>
              <c:idx val="20"/>
              <c:layout>
                <c:manualLayout>
                  <c:x val="-5.8619562386503933E-2"/>
                  <c:y val="-2.2228236734380881E-2"/>
                </c:manualLayout>
              </c:layout>
              <c:tx>
                <c:rich>
                  <a:bodyPr/>
                  <a:lstStyle/>
                  <a:p>
                    <a:fld id="{7CB33E6D-30AF-4BC7-9626-4E0574F437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7E0C-4F86-9CDA-8C26B98E7B10}"/>
                </c:ext>
              </c:extLst>
            </c:dLbl>
            <c:dLbl>
              <c:idx val="21"/>
              <c:tx>
                <c:rich>
                  <a:bodyPr/>
                  <a:lstStyle/>
                  <a:p>
                    <a:fld id="{B4AD74FD-3E4E-4822-A256-1E3FCEF228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E0C-4F86-9CDA-8C26B98E7B10}"/>
                </c:ext>
              </c:extLst>
            </c:dLbl>
            <c:dLbl>
              <c:idx val="22"/>
              <c:tx>
                <c:rich>
                  <a:bodyPr/>
                  <a:lstStyle/>
                  <a:p>
                    <a:fld id="{632408A9-9EBF-4361-B404-45B1C7C04A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E0C-4F86-9CDA-8C26B98E7B10}"/>
                </c:ext>
              </c:extLst>
            </c:dLbl>
            <c:dLbl>
              <c:idx val="23"/>
              <c:tx>
                <c:rich>
                  <a:bodyPr/>
                  <a:lstStyle/>
                  <a:p>
                    <a:fld id="{FD8C6D0D-CA6C-4267-B72C-6285BC147B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E0C-4F86-9CDA-8C26B98E7B10}"/>
                </c:ext>
              </c:extLst>
            </c:dLbl>
            <c:dLbl>
              <c:idx val="24"/>
              <c:tx>
                <c:rich>
                  <a:bodyPr/>
                  <a:lstStyle/>
                  <a:p>
                    <a:fld id="{62FC4445-D450-42DC-8321-088D46E43E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E0C-4F86-9CDA-8C26B98E7B10}"/>
                </c:ext>
              </c:extLst>
            </c:dLbl>
            <c:dLbl>
              <c:idx val="25"/>
              <c:layout>
                <c:manualLayout>
                  <c:x val="-1.4654890596626519E-3"/>
                  <c:y val="2.0207487940346148E-2"/>
                </c:manualLayout>
              </c:layout>
              <c:tx>
                <c:rich>
                  <a:bodyPr/>
                  <a:lstStyle/>
                  <a:p>
                    <a:fld id="{E95D886B-F14A-404F-A3E9-D9748E7542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7E0C-4F86-9CDA-8C26B98E7B10}"/>
                </c:ext>
              </c:extLst>
            </c:dLbl>
            <c:dLbl>
              <c:idx val="26"/>
              <c:layout>
                <c:manualLayout>
                  <c:x val="8.7929343579755889E-3"/>
                  <c:y val="-2.6269734322450163E-2"/>
                </c:manualLayout>
              </c:layout>
              <c:tx>
                <c:rich>
                  <a:bodyPr/>
                  <a:lstStyle/>
                  <a:p>
                    <a:fld id="{8D1C6C90-86AB-4E31-AF01-6462C9D836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7E0C-4F86-9CDA-8C26B98E7B10}"/>
                </c:ext>
              </c:extLst>
            </c:dLbl>
            <c:dLbl>
              <c:idx val="27"/>
              <c:tx>
                <c:rich>
                  <a:bodyPr/>
                  <a:lstStyle/>
                  <a:p>
                    <a:fld id="{1191530D-A1E7-4B34-97F5-F57B3BE838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E0C-4F86-9CDA-8C26B98E7B10}"/>
                </c:ext>
              </c:extLst>
            </c:dLbl>
            <c:dLbl>
              <c:idx val="28"/>
              <c:tx>
                <c:rich>
                  <a:bodyPr/>
                  <a:lstStyle/>
                  <a:p>
                    <a:fld id="{3F35FDDA-CF09-4511-8104-353C5080A0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E0C-4F86-9CDA-8C26B98E7B10}"/>
                </c:ext>
              </c:extLst>
            </c:dLbl>
            <c:dLbl>
              <c:idx val="29"/>
              <c:tx>
                <c:rich>
                  <a:bodyPr/>
                  <a:lstStyle/>
                  <a:p>
                    <a:fld id="{F415F4BC-6CF4-4C60-8BFF-803E9BCD65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E0C-4F86-9CDA-8C26B98E7B10}"/>
                </c:ext>
              </c:extLst>
            </c:dLbl>
            <c:dLbl>
              <c:idx val="30"/>
              <c:tx>
                <c:rich>
                  <a:bodyPr/>
                  <a:lstStyle/>
                  <a:p>
                    <a:fld id="{D3091CE4-D8F1-453C-BA8D-6D78A3E7ED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E0C-4F86-9CDA-8C26B98E7B10}"/>
                </c:ext>
              </c:extLst>
            </c:dLbl>
            <c:dLbl>
              <c:idx val="31"/>
              <c:tx>
                <c:rich>
                  <a:bodyPr/>
                  <a:lstStyle/>
                  <a:p>
                    <a:fld id="{3DAB1A10-F4CF-4A42-8E66-A6AE974AE8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E0C-4F86-9CDA-8C26B98E7B10}"/>
                </c:ext>
              </c:extLst>
            </c:dLbl>
            <c:dLbl>
              <c:idx val="32"/>
              <c:tx>
                <c:rich>
                  <a:bodyPr/>
                  <a:lstStyle/>
                  <a:p>
                    <a:fld id="{A877F082-D470-47B2-8AE6-9136F396D9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E0C-4F86-9CDA-8C26B98E7B10}"/>
                </c:ext>
              </c:extLst>
            </c:dLbl>
            <c:dLbl>
              <c:idx val="33"/>
              <c:tx>
                <c:rich>
                  <a:bodyPr/>
                  <a:lstStyle/>
                  <a:p>
                    <a:fld id="{EE9282DC-49E8-4F01-9077-50A2B78B74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E0C-4F86-9CDA-8C26B98E7B10}"/>
                </c:ext>
              </c:extLst>
            </c:dLbl>
            <c:dLbl>
              <c:idx val="34"/>
              <c:tx>
                <c:rich>
                  <a:bodyPr/>
                  <a:lstStyle/>
                  <a:p>
                    <a:fld id="{D169856A-2951-4475-BD6D-6C819C2866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E0C-4F86-9CDA-8C26B98E7B10}"/>
                </c:ext>
              </c:extLst>
            </c:dLbl>
            <c:dLbl>
              <c:idx val="35"/>
              <c:tx>
                <c:rich>
                  <a:bodyPr/>
                  <a:lstStyle/>
                  <a:p>
                    <a:fld id="{EF622EA5-B926-457A-8B4A-F07B1FFDB0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E0C-4F86-9CDA-8C26B98E7B10}"/>
                </c:ext>
              </c:extLst>
            </c:dLbl>
            <c:dLbl>
              <c:idx val="36"/>
              <c:tx>
                <c:rich>
                  <a:bodyPr/>
                  <a:lstStyle/>
                  <a:p>
                    <a:fld id="{2E55F809-D137-4069-A411-B6F6D34BBD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E0C-4F86-9CDA-8C26B98E7B10}"/>
                </c:ext>
              </c:extLst>
            </c:dLbl>
            <c:dLbl>
              <c:idx val="37"/>
              <c:tx>
                <c:rich>
                  <a:bodyPr/>
                  <a:lstStyle/>
                  <a:p>
                    <a:fld id="{6D03945B-E7B6-4070-A07B-F2C3927D62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7E0C-4F86-9CDA-8C26B98E7B10}"/>
                </c:ext>
              </c:extLst>
            </c:dLbl>
            <c:dLbl>
              <c:idx val="38"/>
              <c:tx>
                <c:rich>
                  <a:bodyPr/>
                  <a:lstStyle/>
                  <a:p>
                    <a:fld id="{BB386C4C-A60E-4DA9-9915-F9E12732A8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7E0C-4F86-9CDA-8C26B98E7B10}"/>
                </c:ext>
              </c:extLst>
            </c:dLbl>
            <c:dLbl>
              <c:idx val="39"/>
              <c:tx>
                <c:rich>
                  <a:bodyPr/>
                  <a:lstStyle/>
                  <a:p>
                    <a:fld id="{0D5289BB-1E2B-4E27-BB6A-C48E787876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7E0C-4F86-9CDA-8C26B98E7B10}"/>
                </c:ext>
              </c:extLst>
            </c:dLbl>
            <c:dLbl>
              <c:idx val="40"/>
              <c:tx>
                <c:rich>
                  <a:bodyPr/>
                  <a:lstStyle/>
                  <a:p>
                    <a:fld id="{9F743CD2-BE73-4053-9D4E-7EC3FAC201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7E0C-4F86-9CDA-8C26B98E7B10}"/>
                </c:ext>
              </c:extLst>
            </c:dLbl>
            <c:dLbl>
              <c:idx val="41"/>
              <c:tx>
                <c:rich>
                  <a:bodyPr/>
                  <a:lstStyle/>
                  <a:p>
                    <a:fld id="{AB60C3DA-F6AC-4E74-A846-4AC888E8A0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7E0C-4F86-9CDA-8C26B98E7B1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1"/>
            <c:trendlineLbl>
              <c:layout>
                <c:manualLayout>
                  <c:x val="2.8970757031260726E-2"/>
                  <c:y val="0.53411381971006555"/>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800" baseline="0">
                        <a:solidFill>
                          <a:schemeClr val="accent4"/>
                        </a:solidFill>
                      </a:rPr>
                      <a:t>y = 0.1533x + 159.02</a:t>
                    </a:r>
                    <a:br>
                      <a:rPr lang="en-US" sz="1800" baseline="0">
                        <a:solidFill>
                          <a:schemeClr val="accent4"/>
                        </a:solidFill>
                      </a:rPr>
                    </a:br>
                    <a:r>
                      <a:rPr lang="en-US" sz="1800" baseline="0">
                        <a:solidFill>
                          <a:schemeClr val="accent4"/>
                        </a:solidFill>
                      </a:rPr>
                      <a:t>R² = 0.335</a:t>
                    </a:r>
                    <a:endParaRPr lang="en-US" sz="1800">
                      <a:solidFill>
                        <a:schemeClr val="accent4"/>
                      </a:solidFill>
                    </a:endParaRPr>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'Jan 2022 Data'!$E$3:$E$44</c:f>
              <c:numCache>
                <c:formatCode>General</c:formatCode>
                <c:ptCount val="42"/>
                <c:pt idx="0">
                  <c:v>194</c:v>
                </c:pt>
                <c:pt idx="1">
                  <c:v>184</c:v>
                </c:pt>
                <c:pt idx="2">
                  <c:v>182</c:v>
                </c:pt>
                <c:pt idx="3">
                  <c:v>182</c:v>
                </c:pt>
                <c:pt idx="4">
                  <c:v>206</c:v>
                </c:pt>
                <c:pt idx="5">
                  <c:v>158</c:v>
                </c:pt>
                <c:pt idx="6">
                  <c:v>183</c:v>
                </c:pt>
                <c:pt idx="7">
                  <c:v>172</c:v>
                </c:pt>
                <c:pt idx="8">
                  <c:v>154</c:v>
                </c:pt>
                <c:pt idx="9">
                  <c:v>165</c:v>
                </c:pt>
                <c:pt idx="10">
                  <c:v>132</c:v>
                </c:pt>
                <c:pt idx="11">
                  <c:v>175</c:v>
                </c:pt>
                <c:pt idx="12">
                  <c:v>155</c:v>
                </c:pt>
                <c:pt idx="13">
                  <c:v>145</c:v>
                </c:pt>
                <c:pt idx="14">
                  <c:v>148</c:v>
                </c:pt>
                <c:pt idx="15">
                  <c:v>138</c:v>
                </c:pt>
                <c:pt idx="16">
                  <c:v>164</c:v>
                </c:pt>
                <c:pt idx="17">
                  <c:v>140</c:v>
                </c:pt>
                <c:pt idx="18">
                  <c:v>168</c:v>
                </c:pt>
                <c:pt idx="19">
                  <c:v>168</c:v>
                </c:pt>
                <c:pt idx="20">
                  <c:v>168</c:v>
                </c:pt>
                <c:pt idx="21">
                  <c:v>167</c:v>
                </c:pt>
                <c:pt idx="22">
                  <c:v>174</c:v>
                </c:pt>
                <c:pt idx="23">
                  <c:v>200</c:v>
                </c:pt>
                <c:pt idx="24">
                  <c:v>167</c:v>
                </c:pt>
                <c:pt idx="25">
                  <c:v>141</c:v>
                </c:pt>
                <c:pt idx="26">
                  <c:v>140</c:v>
                </c:pt>
                <c:pt idx="27">
                  <c:v>162</c:v>
                </c:pt>
                <c:pt idx="28">
                  <c:v>189</c:v>
                </c:pt>
                <c:pt idx="29">
                  <c:v>130</c:v>
                </c:pt>
                <c:pt idx="30">
                  <c:v>146</c:v>
                </c:pt>
                <c:pt idx="31">
                  <c:v>174</c:v>
                </c:pt>
                <c:pt idx="32">
                  <c:v>148</c:v>
                </c:pt>
                <c:pt idx="33">
                  <c:v>152</c:v>
                </c:pt>
                <c:pt idx="34">
                  <c:v>176</c:v>
                </c:pt>
                <c:pt idx="35">
                  <c:v>159</c:v>
                </c:pt>
                <c:pt idx="36">
                  <c:v>147</c:v>
                </c:pt>
                <c:pt idx="37">
                  <c:v>134</c:v>
                </c:pt>
                <c:pt idx="38">
                  <c:v>163</c:v>
                </c:pt>
                <c:pt idx="39">
                  <c:v>134</c:v>
                </c:pt>
                <c:pt idx="40">
                  <c:v>118</c:v>
                </c:pt>
                <c:pt idx="41">
                  <c:v>117</c:v>
                </c:pt>
              </c:numCache>
            </c:numRef>
          </c:xVal>
          <c:yVal>
            <c:numRef>
              <c:f>'Jan 2022 Data'!$D$3:$D$44</c:f>
              <c:numCache>
                <c:formatCode>General</c:formatCode>
                <c:ptCount val="42"/>
                <c:pt idx="0">
                  <c:v>194</c:v>
                </c:pt>
                <c:pt idx="1">
                  <c:v>192</c:v>
                </c:pt>
                <c:pt idx="2">
                  <c:v>191</c:v>
                </c:pt>
                <c:pt idx="3">
                  <c:v>191</c:v>
                </c:pt>
                <c:pt idx="4">
                  <c:v>190</c:v>
                </c:pt>
                <c:pt idx="5">
                  <c:v>190</c:v>
                </c:pt>
                <c:pt idx="6">
                  <c:v>190</c:v>
                </c:pt>
                <c:pt idx="7">
                  <c:v>189</c:v>
                </c:pt>
                <c:pt idx="8">
                  <c:v>188</c:v>
                </c:pt>
                <c:pt idx="9">
                  <c:v>188</c:v>
                </c:pt>
                <c:pt idx="10">
                  <c:v>187</c:v>
                </c:pt>
                <c:pt idx="11">
                  <c:v>187</c:v>
                </c:pt>
                <c:pt idx="12">
                  <c:v>187</c:v>
                </c:pt>
                <c:pt idx="13">
                  <c:v>187</c:v>
                </c:pt>
                <c:pt idx="14">
                  <c:v>183</c:v>
                </c:pt>
                <c:pt idx="15">
                  <c:v>186</c:v>
                </c:pt>
                <c:pt idx="16">
                  <c:v>185</c:v>
                </c:pt>
                <c:pt idx="17">
                  <c:v>185</c:v>
                </c:pt>
                <c:pt idx="18">
                  <c:v>185</c:v>
                </c:pt>
                <c:pt idx="19">
                  <c:v>185</c:v>
                </c:pt>
                <c:pt idx="20">
                  <c:v>185</c:v>
                </c:pt>
                <c:pt idx="21">
                  <c:v>184</c:v>
                </c:pt>
                <c:pt idx="22">
                  <c:v>184</c:v>
                </c:pt>
                <c:pt idx="23">
                  <c:v>184</c:v>
                </c:pt>
                <c:pt idx="24">
                  <c:v>183</c:v>
                </c:pt>
                <c:pt idx="25">
                  <c:v>183</c:v>
                </c:pt>
                <c:pt idx="26">
                  <c:v>183</c:v>
                </c:pt>
                <c:pt idx="27">
                  <c:v>182</c:v>
                </c:pt>
                <c:pt idx="28">
                  <c:v>181</c:v>
                </c:pt>
                <c:pt idx="29">
                  <c:v>182</c:v>
                </c:pt>
                <c:pt idx="30">
                  <c:v>181</c:v>
                </c:pt>
                <c:pt idx="31">
                  <c:v>180</c:v>
                </c:pt>
                <c:pt idx="32">
                  <c:v>180</c:v>
                </c:pt>
                <c:pt idx="33">
                  <c:v>179</c:v>
                </c:pt>
                <c:pt idx="34">
                  <c:v>178</c:v>
                </c:pt>
                <c:pt idx="35">
                  <c:v>177</c:v>
                </c:pt>
                <c:pt idx="36">
                  <c:v>176</c:v>
                </c:pt>
                <c:pt idx="37">
                  <c:v>176</c:v>
                </c:pt>
                <c:pt idx="38">
                  <c:v>175</c:v>
                </c:pt>
                <c:pt idx="39">
                  <c:v>175</c:v>
                </c:pt>
                <c:pt idx="40">
                  <c:v>172</c:v>
                </c:pt>
                <c:pt idx="41">
                  <c:v>169</c:v>
                </c:pt>
              </c:numCache>
            </c:numRef>
          </c:yVal>
          <c:smooth val="0"/>
          <c:extLst>
            <c:ext xmlns:c15="http://schemas.microsoft.com/office/drawing/2012/chart" uri="{02D57815-91ED-43cb-92C2-25804820EDAC}">
              <c15:datalabelsRange>
                <c15:f>'Jan 2022 Data'!$A$3:$A$44</c15:f>
                <c15:dlblRangeCache>
                  <c:ptCount val="42"/>
                  <c:pt idx="0">
                    <c:v>Kaisei</c:v>
                  </c:pt>
                  <c:pt idx="1">
                    <c:v>Terunofuji</c:v>
                  </c:pt>
                  <c:pt idx="2">
                    <c:v>Tochinoshin</c:v>
                  </c:pt>
                  <c:pt idx="3">
                    <c:v>Oho</c:v>
                  </c:pt>
                  <c:pt idx="4">
                    <c:v>Ichinojo</c:v>
                  </c:pt>
                  <c:pt idx="5">
                    <c:v>Okinoumi</c:v>
                  </c:pt>
                  <c:pt idx="6">
                    <c:v>Aoiyama</c:v>
                  </c:pt>
                  <c:pt idx="7">
                    <c:v>Tamawashi</c:v>
                  </c:pt>
                  <c:pt idx="8">
                    <c:v>Abi</c:v>
                  </c:pt>
                  <c:pt idx="9">
                    <c:v>Kotonowaka</c:v>
                  </c:pt>
                  <c:pt idx="10">
                    <c:v>Hoshoryu</c:v>
                  </c:pt>
                  <c:pt idx="11">
                    <c:v>Takayasu</c:v>
                  </c:pt>
                  <c:pt idx="12">
                    <c:v>Myogiryu</c:v>
                  </c:pt>
                  <c:pt idx="13">
                    <c:v>Ichiyamamoto</c:v>
                  </c:pt>
                  <c:pt idx="14">
                    <c:v>Endo</c:v>
                  </c:pt>
                  <c:pt idx="15">
                    <c:v>Wakamotoharu</c:v>
                  </c:pt>
                  <c:pt idx="16">
                    <c:v>Takanosho</c:v>
                  </c:pt>
                  <c:pt idx="17">
                    <c:v>Kiribayama</c:v>
                  </c:pt>
                  <c:pt idx="18">
                    <c:v>Hokutofuji</c:v>
                  </c:pt>
                  <c:pt idx="19">
                    <c:v>Takarafuji</c:v>
                  </c:pt>
                  <c:pt idx="20">
                    <c:v>Hidenoumi</c:v>
                  </c:pt>
                  <c:pt idx="21">
                    <c:v>Akua</c:v>
                  </c:pt>
                  <c:pt idx="22">
                    <c:v>Yutakayama</c:v>
                  </c:pt>
                  <c:pt idx="23">
                    <c:v>Tsurugisho</c:v>
                  </c:pt>
                  <c:pt idx="24">
                    <c:v>Shodai</c:v>
                  </c:pt>
                  <c:pt idx="25">
                    <c:v>Chiyoshoma</c:v>
                  </c:pt>
                  <c:pt idx="26">
                    <c:v>Sadanoumi</c:v>
                  </c:pt>
                  <c:pt idx="27">
                    <c:v>Daieisho</c:v>
                  </c:pt>
                  <c:pt idx="28">
                    <c:v>Chiyotairyu</c:v>
                  </c:pt>
                  <c:pt idx="29">
                    <c:v>Wakatakakage</c:v>
                  </c:pt>
                  <c:pt idx="30">
                    <c:v>Chiyonokuni</c:v>
                  </c:pt>
                  <c:pt idx="31">
                    <c:v>Mitakeumi</c:v>
                  </c:pt>
                  <c:pt idx="32">
                    <c:v>Meisei</c:v>
                  </c:pt>
                  <c:pt idx="33">
                    <c:v>Shimanoumi</c:v>
                  </c:pt>
                  <c:pt idx="34">
                    <c:v>Chiyomaru</c:v>
                  </c:pt>
                  <c:pt idx="35">
                    <c:v>Onosho</c:v>
                  </c:pt>
                  <c:pt idx="36">
                    <c:v>Ura</c:v>
                  </c:pt>
                  <c:pt idx="37">
                    <c:v>Kotoeko</c:v>
                  </c:pt>
                  <c:pt idx="38">
                    <c:v>Takakeisho</c:v>
                  </c:pt>
                  <c:pt idx="39">
                    <c:v>Tobizaru</c:v>
                  </c:pt>
                  <c:pt idx="40">
                    <c:v>Ishiura</c:v>
                  </c:pt>
                  <c:pt idx="41">
                    <c:v>Terutsuyoshi</c:v>
                  </c:pt>
                </c15:dlblRangeCache>
              </c15:datalabelsRange>
            </c:ext>
            <c:ext xmlns:c16="http://schemas.microsoft.com/office/drawing/2014/chart" uri="{C3380CC4-5D6E-409C-BE32-E72D297353CC}">
              <c16:uniqueId val="{0000002A-7E0C-4F86-9CDA-8C26B98E7B10}"/>
            </c:ext>
          </c:extLst>
        </c:ser>
        <c:dLbls>
          <c:showLegendKey val="0"/>
          <c:showVal val="0"/>
          <c:showCatName val="0"/>
          <c:showSerName val="0"/>
          <c:showPercent val="0"/>
          <c:showBubbleSize val="0"/>
        </c:dLbls>
        <c:axId val="745971600"/>
        <c:axId val="745971928"/>
      </c:scatterChart>
      <c:valAx>
        <c:axId val="745971600"/>
        <c:scaling>
          <c:orientation val="minMax"/>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July 2023 Makuuchi Wrestlers </a:t>
            </a:r>
          </a:p>
        </c:rich>
      </c:tx>
      <c:layout>
        <c:manualLayout>
          <c:xMode val="edge"/>
          <c:yMode val="edge"/>
          <c:x val="0.30492390540072861"/>
          <c:y val="1.61616161616161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0855586604468249E-2"/>
          <c:y val="7.8989421776823346E-2"/>
          <c:w val="0.81188907136193378"/>
          <c:h val="0.85594431898299383"/>
        </c:manualLayout>
      </c:layout>
      <c:scatterChart>
        <c:scatterStyle val="lineMarker"/>
        <c:varyColors val="0"/>
        <c:ser>
          <c:idx val="0"/>
          <c:order val="0"/>
          <c:tx>
            <c:v>Yokozuna</c:v>
          </c:tx>
          <c:spPr>
            <a:ln w="25400" cap="rnd">
              <a:noFill/>
              <a:round/>
            </a:ln>
            <a:effectLst/>
          </c:spPr>
          <c:marker>
            <c:symbol val="circle"/>
            <c:size val="20"/>
            <c:spPr>
              <a:solidFill>
                <a:schemeClr val="accent1"/>
              </a:solidFill>
              <a:ln w="31750" cmpd="tri">
                <a:solidFill>
                  <a:schemeClr val="accent6">
                    <a:lumMod val="60000"/>
                    <a:alpha val="85000"/>
                  </a:schemeClr>
                </a:solidFill>
              </a:ln>
              <a:effectLst/>
            </c:spPr>
          </c:marker>
          <c:dPt>
            <c:idx val="0"/>
            <c:marker>
              <c:symbol val="circle"/>
              <c:size val="25"/>
              <c:spPr>
                <a:solidFill>
                  <a:schemeClr val="accent1"/>
                </a:solidFill>
                <a:ln w="31750" cmpd="tri">
                  <a:solidFill>
                    <a:schemeClr val="accent6">
                      <a:lumMod val="60000"/>
                      <a:alpha val="85000"/>
                    </a:schemeClr>
                  </a:solidFill>
                </a:ln>
                <a:effectLst/>
              </c:spPr>
            </c:marker>
            <c:bubble3D val="0"/>
            <c:extLst>
              <c:ext xmlns:c16="http://schemas.microsoft.com/office/drawing/2014/chart" uri="{C3380CC4-5D6E-409C-BE32-E72D297353CC}">
                <c16:uniqueId val="{00000000-B068-400E-B7C8-831B11434695}"/>
              </c:ext>
            </c:extLst>
          </c:dPt>
          <c:dLbls>
            <c:dLbl>
              <c:idx val="0"/>
              <c:layout>
                <c:manualLayout>
                  <c:x val="-1.9065076809395308E-2"/>
                  <c:y val="-4.4444444444444446E-2"/>
                </c:manualLayout>
              </c:layout>
              <c:tx>
                <c:rich>
                  <a:bodyPr/>
                  <a:lstStyle/>
                  <a:p>
                    <a:fld id="{57175181-26F2-442D-966C-A69A82944E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068-400E-B7C8-831B114346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'July 2023 Data'!$L$4</c:f>
              <c:numCache>
                <c:formatCode>General</c:formatCode>
                <c:ptCount val="1"/>
                <c:pt idx="0">
                  <c:v>174</c:v>
                </c:pt>
              </c:numCache>
            </c:numRef>
          </c:xVal>
          <c:yVal>
            <c:numRef>
              <c:f>'July 2023 Data'!$K$4</c:f>
              <c:numCache>
                <c:formatCode>General</c:formatCode>
                <c:ptCount val="1"/>
                <c:pt idx="0">
                  <c:v>192</c:v>
                </c:pt>
              </c:numCache>
            </c:numRef>
          </c:yVal>
          <c:smooth val="0"/>
          <c:extLst>
            <c:ext xmlns:c15="http://schemas.microsoft.com/office/drawing/2012/chart" uri="{02D57815-91ED-43cb-92C2-25804820EDAC}">
              <c15:datalabelsRange>
                <c15:f>'May 2023 Data'!$A$4</c15:f>
                <c15:dlblRangeCache>
                  <c:ptCount val="1"/>
                  <c:pt idx="0">
                    <c:v>Terunofuji</c:v>
                  </c:pt>
                </c15:dlblRangeCache>
              </c15:datalabelsRange>
            </c:ext>
            <c:ext xmlns:c16="http://schemas.microsoft.com/office/drawing/2014/chart" uri="{C3380CC4-5D6E-409C-BE32-E72D297353CC}">
              <c16:uniqueId val="{00000001-B068-400E-B7C8-831B11434695}"/>
            </c:ext>
          </c:extLst>
        </c:ser>
        <c:ser>
          <c:idx val="1"/>
          <c:order val="1"/>
          <c:tx>
            <c:v>Ozeki</c:v>
          </c:tx>
          <c:spPr>
            <a:ln w="25400" cap="rnd">
              <a:noFill/>
              <a:round/>
            </a:ln>
            <a:effectLst/>
          </c:spPr>
          <c:marker>
            <c:symbol val="circle"/>
            <c:size val="20"/>
            <c:spPr>
              <a:solidFill>
                <a:schemeClr val="accent2"/>
              </a:solidFill>
              <a:ln w="25400" cmpd="thickThin">
                <a:solidFill>
                  <a:schemeClr val="accent6">
                    <a:lumMod val="60000"/>
                  </a:schemeClr>
                </a:solidFill>
              </a:ln>
              <a:effectLst/>
            </c:spPr>
          </c:marker>
          <c:dLbls>
            <c:dLbl>
              <c:idx val="0"/>
              <c:tx>
                <c:rich>
                  <a:bodyPr/>
                  <a:lstStyle/>
                  <a:p>
                    <a:fld id="{F14DEC1D-C588-4A7A-A36E-19245EC03B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068-400E-B7C8-831B11434695}"/>
                </c:ext>
              </c:extLst>
            </c:dLbl>
            <c:dLbl>
              <c:idx val="1"/>
              <c:layout>
                <c:manualLayout>
                  <c:x val="-5.8661774798139405E-3"/>
                  <c:y val="1.0101010101010027E-2"/>
                </c:manualLayout>
              </c:layout>
              <c:tx>
                <c:rich>
                  <a:bodyPr/>
                  <a:lstStyle/>
                  <a:p>
                    <a:fld id="{3C4245F8-D31F-4129-9D67-3188AA1595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B068-400E-B7C8-831B114346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'July 2023 Data'!$L$5:$L$6</c:f>
              <c:numCache>
                <c:formatCode>General</c:formatCode>
                <c:ptCount val="2"/>
                <c:pt idx="0">
                  <c:v>165</c:v>
                </c:pt>
                <c:pt idx="1">
                  <c:v>143</c:v>
                </c:pt>
              </c:numCache>
            </c:numRef>
          </c:xVal>
          <c:yVal>
            <c:numRef>
              <c:f>'July 2023 Data'!$K$5:$K$6</c:f>
              <c:numCache>
                <c:formatCode>General</c:formatCode>
                <c:ptCount val="2"/>
                <c:pt idx="0">
                  <c:v>175</c:v>
                </c:pt>
                <c:pt idx="1">
                  <c:v>186</c:v>
                </c:pt>
              </c:numCache>
            </c:numRef>
          </c:yVal>
          <c:smooth val="0"/>
          <c:extLst>
            <c:ext xmlns:c15="http://schemas.microsoft.com/office/drawing/2012/chart" uri="{02D57815-91ED-43cb-92C2-25804820EDAC}">
              <c15:datalabelsRange>
                <c15:f>'July 2023 Data'!$A$5:$A$6</c15:f>
                <c15:dlblRangeCache>
                  <c:ptCount val="2"/>
                  <c:pt idx="0">
                    <c:v>Takakeisho</c:v>
                  </c:pt>
                  <c:pt idx="1">
                    <c:v>Kirishima</c:v>
                  </c:pt>
                </c15:dlblRangeCache>
              </c15:datalabelsRange>
            </c:ext>
            <c:ext xmlns:c16="http://schemas.microsoft.com/office/drawing/2014/chart" uri="{C3380CC4-5D6E-409C-BE32-E72D297353CC}">
              <c16:uniqueId val="{00000003-B068-400E-B7C8-831B11434695}"/>
            </c:ext>
          </c:extLst>
        </c:ser>
        <c:ser>
          <c:idx val="2"/>
          <c:order val="2"/>
          <c:tx>
            <c:v>Sekiwake</c:v>
          </c:tx>
          <c:spPr>
            <a:ln w="25400" cap="rnd">
              <a:noFill/>
              <a:round/>
            </a:ln>
            <a:effectLst/>
          </c:spPr>
          <c:marker>
            <c:symbol val="circle"/>
            <c:size val="15"/>
            <c:spPr>
              <a:solidFill>
                <a:schemeClr val="accent3"/>
              </a:solidFill>
              <a:ln w="25400" cmpd="dbl">
                <a:solidFill>
                  <a:schemeClr val="accent6">
                    <a:lumMod val="60000"/>
                  </a:schemeClr>
                </a:solidFill>
              </a:ln>
              <a:effectLst/>
            </c:spPr>
          </c:marker>
          <c:dLbls>
            <c:dLbl>
              <c:idx val="0"/>
              <c:layout>
                <c:manualLayout>
                  <c:x val="-2.1998165549302329E-2"/>
                  <c:y val="-2.2222222222222223E-2"/>
                </c:manualLayout>
              </c:layout>
              <c:tx>
                <c:rich>
                  <a:bodyPr/>
                  <a:lstStyle/>
                  <a:p>
                    <a:fld id="{09466302-CA8A-4A05-B1C1-D769184A31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068-400E-B7C8-831B11434695}"/>
                </c:ext>
              </c:extLst>
            </c:dLbl>
            <c:dLbl>
              <c:idx val="1"/>
              <c:tx>
                <c:rich>
                  <a:bodyPr/>
                  <a:lstStyle/>
                  <a:p>
                    <a:fld id="{35323B34-8E15-417B-83AB-22E156E2D9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068-400E-B7C8-831B11434695}"/>
                </c:ext>
              </c:extLst>
            </c:dLbl>
            <c:dLbl>
              <c:idx val="2"/>
              <c:tx>
                <c:rich>
                  <a:bodyPr/>
                  <a:lstStyle/>
                  <a:p>
                    <a:fld id="{94A84894-5383-44BB-B8A1-E624E23962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068-400E-B7C8-831B114346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'July 2023 Data'!$L$7:$L$9</c:f>
              <c:numCache>
                <c:formatCode>General</c:formatCode>
                <c:ptCount val="3"/>
                <c:pt idx="0">
                  <c:v>142</c:v>
                </c:pt>
                <c:pt idx="1">
                  <c:v>147</c:v>
                </c:pt>
                <c:pt idx="2">
                  <c:v>164</c:v>
                </c:pt>
              </c:numCache>
            </c:numRef>
          </c:xVal>
          <c:yVal>
            <c:numRef>
              <c:f>'July 2023 Data'!$K$7:$K$9</c:f>
              <c:numCache>
                <c:formatCode>General</c:formatCode>
                <c:ptCount val="3"/>
                <c:pt idx="0">
                  <c:v>188</c:v>
                </c:pt>
                <c:pt idx="1">
                  <c:v>187</c:v>
                </c:pt>
                <c:pt idx="2">
                  <c:v>182</c:v>
                </c:pt>
              </c:numCache>
            </c:numRef>
          </c:yVal>
          <c:smooth val="0"/>
          <c:extLst>
            <c:ext xmlns:c15="http://schemas.microsoft.com/office/drawing/2012/chart" uri="{02D57815-91ED-43cb-92C2-25804820EDAC}">
              <c15:datalabelsRange>
                <c15:f>'July 2023 Data'!$A$7:$A$9</c15:f>
                <c15:dlblRangeCache>
                  <c:ptCount val="3"/>
                  <c:pt idx="0">
                    <c:v>Hoshoryu</c:v>
                  </c:pt>
                  <c:pt idx="1">
                    <c:v>Wakamotoharu</c:v>
                  </c:pt>
                  <c:pt idx="2">
                    <c:v>Daieisho</c:v>
                  </c:pt>
                </c15:dlblRangeCache>
              </c15:datalabelsRange>
            </c:ext>
            <c:ext xmlns:c16="http://schemas.microsoft.com/office/drawing/2014/chart" uri="{C3380CC4-5D6E-409C-BE32-E72D297353CC}">
              <c16:uniqueId val="{00000008-B068-400E-B7C8-831B11434695}"/>
            </c:ext>
          </c:extLst>
        </c:ser>
        <c:ser>
          <c:idx val="3"/>
          <c:order val="3"/>
          <c:tx>
            <c:v>Komusubi</c:v>
          </c:tx>
          <c:spPr>
            <a:ln w="25400" cap="rnd">
              <a:noFill/>
              <a:round/>
            </a:ln>
            <a:effectLst/>
          </c:spPr>
          <c:marker>
            <c:symbol val="circle"/>
            <c:size val="12"/>
            <c:spPr>
              <a:solidFill>
                <a:schemeClr val="accent4"/>
              </a:solidFill>
              <a:ln w="25400" cmpd="sng">
                <a:solidFill>
                  <a:schemeClr val="accent6">
                    <a:lumMod val="60000"/>
                  </a:schemeClr>
                </a:solidFill>
              </a:ln>
              <a:effectLst/>
            </c:spPr>
          </c:marker>
          <c:dLbls>
            <c:dLbl>
              <c:idx val="0"/>
              <c:layout>
                <c:manualLayout>
                  <c:x val="-2.9330887399070778E-3"/>
                  <c:y val="-7.4073218373934501E-17"/>
                </c:manualLayout>
              </c:layout>
              <c:tx>
                <c:rich>
                  <a:bodyPr/>
                  <a:lstStyle/>
                  <a:p>
                    <a:fld id="{3FFC1647-5A29-4BDF-BCD4-266D048FA5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068-400E-B7C8-831B11434695}"/>
                </c:ext>
              </c:extLst>
            </c:dLbl>
            <c:dLbl>
              <c:idx val="1"/>
              <c:tx>
                <c:rich>
                  <a:bodyPr/>
                  <a:lstStyle/>
                  <a:p>
                    <a:fld id="{61B248ED-779D-479A-94BA-AEB5738AC2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068-400E-B7C8-831B114346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'July 2023 Data'!$L$10:$L$11</c:f>
              <c:numCache>
                <c:formatCode>General</c:formatCode>
                <c:ptCount val="2"/>
                <c:pt idx="0">
                  <c:v>176</c:v>
                </c:pt>
                <c:pt idx="1">
                  <c:v>158</c:v>
                </c:pt>
              </c:numCache>
            </c:numRef>
          </c:xVal>
          <c:yVal>
            <c:numRef>
              <c:f>'July 2023 Data'!$K$10:$K$11</c:f>
              <c:numCache>
                <c:formatCode>General</c:formatCode>
                <c:ptCount val="2"/>
                <c:pt idx="0">
                  <c:v>189</c:v>
                </c:pt>
                <c:pt idx="1">
                  <c:v>186</c:v>
                </c:pt>
              </c:numCache>
            </c:numRef>
          </c:yVal>
          <c:smooth val="0"/>
          <c:extLst>
            <c:ext xmlns:c15="http://schemas.microsoft.com/office/drawing/2012/chart" uri="{02D57815-91ED-43cb-92C2-25804820EDAC}">
              <c15:datalabelsRange>
                <c15:f>'July 2023 Data'!$A$10:$A$11</c15:f>
                <c15:dlblRangeCache>
                  <c:ptCount val="2"/>
                  <c:pt idx="0">
                    <c:v>Kotonowaka</c:v>
                  </c:pt>
                  <c:pt idx="1">
                    <c:v>Abi</c:v>
                  </c:pt>
                </c15:dlblRangeCache>
              </c15:datalabelsRange>
            </c:ext>
            <c:ext xmlns:c16="http://schemas.microsoft.com/office/drawing/2014/chart" uri="{C3380CC4-5D6E-409C-BE32-E72D297353CC}">
              <c16:uniqueId val="{0000000C-B068-400E-B7C8-831B11434695}"/>
            </c:ext>
          </c:extLst>
        </c:ser>
        <c:ser>
          <c:idx val="4"/>
          <c:order val="4"/>
          <c:tx>
            <c:v>M01-04</c:v>
          </c:tx>
          <c:spPr>
            <a:ln w="25400" cap="rnd">
              <a:noFill/>
              <a:round/>
            </a:ln>
            <a:effectLst/>
          </c:spPr>
          <c:marker>
            <c:symbol val="circle"/>
            <c:size val="9"/>
            <c:spPr>
              <a:solidFill>
                <a:schemeClr val="accent1">
                  <a:alpha val="73000"/>
                </a:schemeClr>
              </a:solidFill>
              <a:ln w="9525">
                <a:solidFill>
                  <a:schemeClr val="tx1">
                    <a:lumMod val="50000"/>
                    <a:lumOff val="50000"/>
                  </a:schemeClr>
                </a:solidFill>
              </a:ln>
              <a:effectLst/>
            </c:spPr>
          </c:marker>
          <c:dLbls>
            <c:dLbl>
              <c:idx val="0"/>
              <c:tx>
                <c:rich>
                  <a:bodyPr/>
                  <a:lstStyle/>
                  <a:p>
                    <a:fld id="{5F63616B-654A-47FE-A51B-F9385240A5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068-400E-B7C8-831B11434695}"/>
                </c:ext>
              </c:extLst>
            </c:dLbl>
            <c:dLbl>
              <c:idx val="1"/>
              <c:tx>
                <c:rich>
                  <a:bodyPr/>
                  <a:lstStyle/>
                  <a:p>
                    <a:fld id="{A1B22825-6BC3-4496-959D-F7F121590E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068-400E-B7C8-831B11434695}"/>
                </c:ext>
              </c:extLst>
            </c:dLbl>
            <c:dLbl>
              <c:idx val="2"/>
              <c:tx>
                <c:rich>
                  <a:bodyPr/>
                  <a:lstStyle/>
                  <a:p>
                    <a:fld id="{1AA3D700-33E0-497D-BF0B-C31E03C2B9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068-400E-B7C8-831B11434695}"/>
                </c:ext>
              </c:extLst>
            </c:dLbl>
            <c:dLbl>
              <c:idx val="3"/>
              <c:tx>
                <c:rich>
                  <a:bodyPr/>
                  <a:lstStyle/>
                  <a:p>
                    <a:fld id="{603CD150-77E0-4E42-B0AD-3A9A9A018C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068-400E-B7C8-831B11434695}"/>
                </c:ext>
              </c:extLst>
            </c:dLbl>
            <c:dLbl>
              <c:idx val="4"/>
              <c:tx>
                <c:rich>
                  <a:bodyPr/>
                  <a:lstStyle/>
                  <a:p>
                    <a:fld id="{589556DA-E650-4E4C-8DAD-4AA6F4C2C4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068-400E-B7C8-831B11434695}"/>
                </c:ext>
              </c:extLst>
            </c:dLbl>
            <c:dLbl>
              <c:idx val="5"/>
              <c:tx>
                <c:rich>
                  <a:bodyPr/>
                  <a:lstStyle/>
                  <a:p>
                    <a:fld id="{604B3A7B-EC44-4073-A283-24BA2F6EAB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068-400E-B7C8-831B11434695}"/>
                </c:ext>
              </c:extLst>
            </c:dLbl>
            <c:dLbl>
              <c:idx val="6"/>
              <c:tx>
                <c:rich>
                  <a:bodyPr/>
                  <a:lstStyle/>
                  <a:p>
                    <a:fld id="{F5D91777-2771-4582-BB8B-E422ADD8DA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068-400E-B7C8-831B11434695}"/>
                </c:ext>
              </c:extLst>
            </c:dLbl>
            <c:dLbl>
              <c:idx val="7"/>
              <c:layout>
                <c:manualLayout>
                  <c:x val="-4.1063242358697585E-2"/>
                  <c:y val="2.8282828282828285E-2"/>
                </c:manualLayout>
              </c:layout>
              <c:tx>
                <c:rich>
                  <a:bodyPr/>
                  <a:lstStyle/>
                  <a:p>
                    <a:fld id="{88D1D987-DE4E-40F4-867A-2E213D2E9F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B068-400E-B7C8-831B114346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'July 2023 Data'!$L$12:$L$19</c:f>
              <c:numCache>
                <c:formatCode>General</c:formatCode>
                <c:ptCount val="8"/>
                <c:pt idx="0">
                  <c:v>135</c:v>
                </c:pt>
                <c:pt idx="1">
                  <c:v>180</c:v>
                </c:pt>
                <c:pt idx="2">
                  <c:v>161</c:v>
                </c:pt>
                <c:pt idx="3">
                  <c:v>170</c:v>
                </c:pt>
                <c:pt idx="4">
                  <c:v>116</c:v>
                </c:pt>
                <c:pt idx="5">
                  <c:v>154</c:v>
                </c:pt>
                <c:pt idx="6">
                  <c:v>143</c:v>
                </c:pt>
                <c:pt idx="7">
                  <c:v>168</c:v>
                </c:pt>
              </c:numCache>
            </c:numRef>
          </c:xVal>
          <c:yVal>
            <c:numRef>
              <c:f>'July 2023 Data'!$K$12:$K$19</c:f>
              <c:numCache>
                <c:formatCode>General</c:formatCode>
                <c:ptCount val="8"/>
                <c:pt idx="0">
                  <c:v>174</c:v>
                </c:pt>
                <c:pt idx="1">
                  <c:v>185</c:v>
                </c:pt>
                <c:pt idx="2">
                  <c:v>184</c:v>
                </c:pt>
                <c:pt idx="3">
                  <c:v>179</c:v>
                </c:pt>
                <c:pt idx="4">
                  <c:v>171</c:v>
                </c:pt>
                <c:pt idx="5">
                  <c:v>180</c:v>
                </c:pt>
                <c:pt idx="6">
                  <c:v>175</c:v>
                </c:pt>
                <c:pt idx="7">
                  <c:v>189</c:v>
                </c:pt>
              </c:numCache>
            </c:numRef>
          </c:yVal>
          <c:smooth val="0"/>
          <c:extLst>
            <c:ext xmlns:c15="http://schemas.microsoft.com/office/drawing/2012/chart" uri="{02D57815-91ED-43cb-92C2-25804820EDAC}">
              <c15:datalabelsRange>
                <c15:f>'July 2023 Data'!$A$12:$A$19</c15:f>
                <c15:dlblRangeCache>
                  <c:ptCount val="8"/>
                  <c:pt idx="0">
                    <c:v>Tobizaru</c:v>
                  </c:pt>
                  <c:pt idx="1">
                    <c:v>Nishikigi</c:v>
                  </c:pt>
                  <c:pt idx="2">
                    <c:v>Shodai</c:v>
                  </c:pt>
                  <c:pt idx="3">
                    <c:v>Mitakeumi</c:v>
                  </c:pt>
                  <c:pt idx="4">
                    <c:v>Midorifuji</c:v>
                  </c:pt>
                  <c:pt idx="5">
                    <c:v>Meisei</c:v>
                  </c:pt>
                  <c:pt idx="6">
                    <c:v>Ura</c:v>
                  </c:pt>
                  <c:pt idx="7">
                    <c:v>Asanoyama</c:v>
                  </c:pt>
                </c15:dlblRangeCache>
              </c15:datalabelsRange>
            </c:ext>
            <c:ext xmlns:c16="http://schemas.microsoft.com/office/drawing/2014/chart" uri="{C3380CC4-5D6E-409C-BE32-E72D297353CC}">
              <c16:uniqueId val="{00000015-B068-400E-B7C8-831B11434695}"/>
            </c:ext>
          </c:extLst>
        </c:ser>
        <c:ser>
          <c:idx val="5"/>
          <c:order val="5"/>
          <c:tx>
            <c:v>M05-08</c:v>
          </c:tx>
          <c:spPr>
            <a:ln w="25400" cap="rnd">
              <a:noFill/>
              <a:round/>
            </a:ln>
            <a:effectLst/>
          </c:spPr>
          <c:marker>
            <c:symbol val="circle"/>
            <c:size val="8"/>
            <c:spPr>
              <a:solidFill>
                <a:schemeClr val="accent2">
                  <a:alpha val="28000"/>
                </a:schemeClr>
              </a:solidFill>
              <a:ln w="9525">
                <a:solidFill>
                  <a:schemeClr val="tx1">
                    <a:lumMod val="50000"/>
                    <a:lumOff val="50000"/>
                  </a:schemeClr>
                </a:solidFill>
              </a:ln>
              <a:effectLst/>
            </c:spPr>
          </c:marker>
          <c:dLbls>
            <c:dLbl>
              <c:idx val="0"/>
              <c:tx>
                <c:rich>
                  <a:bodyPr/>
                  <a:lstStyle/>
                  <a:p>
                    <a:fld id="{22AA1F9B-E4E1-4F9C-8205-5190DD6D70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B068-400E-B7C8-831B11434695}"/>
                </c:ext>
              </c:extLst>
            </c:dLbl>
            <c:dLbl>
              <c:idx val="1"/>
              <c:tx>
                <c:rich>
                  <a:bodyPr/>
                  <a:lstStyle/>
                  <a:p>
                    <a:fld id="{0DAFB363-F728-497F-BCDA-282F319829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B068-400E-B7C8-831B11434695}"/>
                </c:ext>
              </c:extLst>
            </c:dLbl>
            <c:dLbl>
              <c:idx val="2"/>
              <c:tx>
                <c:rich>
                  <a:bodyPr/>
                  <a:lstStyle/>
                  <a:p>
                    <a:fld id="{E150082F-A3EE-43E1-892D-2641CFEB94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B068-400E-B7C8-831B11434695}"/>
                </c:ext>
              </c:extLst>
            </c:dLbl>
            <c:dLbl>
              <c:idx val="3"/>
              <c:layout>
                <c:manualLayout>
                  <c:x val="-1.0265810589674504E-2"/>
                  <c:y val="-1.0101010101010175E-2"/>
                </c:manualLayout>
              </c:layout>
              <c:tx>
                <c:rich>
                  <a:bodyPr/>
                  <a:lstStyle/>
                  <a:p>
                    <a:fld id="{EC288AA3-6ECB-4941-9BEF-F5599D12C2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B068-400E-B7C8-831B11434695}"/>
                </c:ext>
              </c:extLst>
            </c:dLbl>
            <c:dLbl>
              <c:idx val="4"/>
              <c:tx>
                <c:rich>
                  <a:bodyPr/>
                  <a:lstStyle/>
                  <a:p>
                    <a:fld id="{D6904D94-D939-4761-B2F3-DC56E2CC7F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B068-400E-B7C8-831B11434695}"/>
                </c:ext>
              </c:extLst>
            </c:dLbl>
            <c:dLbl>
              <c:idx val="5"/>
              <c:layout>
                <c:manualLayout>
                  <c:x val="-2.7864343029116216E-2"/>
                  <c:y val="2.8282828282828285E-2"/>
                </c:manualLayout>
              </c:layout>
              <c:tx>
                <c:rich>
                  <a:bodyPr/>
                  <a:lstStyle/>
                  <a:p>
                    <a:fld id="{75BDC314-BC78-43E2-A4E9-6D10116E0E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B068-400E-B7C8-831B11434695}"/>
                </c:ext>
              </c:extLst>
            </c:dLbl>
            <c:dLbl>
              <c:idx val="6"/>
              <c:layout>
                <c:manualLayout>
                  <c:x val="-4.3996331098604499E-2"/>
                  <c:y val="1.8181818181818108E-2"/>
                </c:manualLayout>
              </c:layout>
              <c:tx>
                <c:rich>
                  <a:bodyPr/>
                  <a:lstStyle/>
                  <a:p>
                    <a:fld id="{1715B529-6CDE-4DCD-8913-43292DAAAE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B-B068-400E-B7C8-831B11434695}"/>
                </c:ext>
              </c:extLst>
            </c:dLbl>
            <c:dLbl>
              <c:idx val="7"/>
              <c:tx>
                <c:rich>
                  <a:bodyPr/>
                  <a:lstStyle/>
                  <a:p>
                    <a:fld id="{53448648-003E-4A4E-8616-D3FEF1628C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B068-400E-B7C8-831B114346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'July 2023 Data'!$L$20:$L$27</c:f>
              <c:numCache>
                <c:formatCode>General</c:formatCode>
                <c:ptCount val="8"/>
                <c:pt idx="0">
                  <c:v>165</c:v>
                </c:pt>
                <c:pt idx="1">
                  <c:v>135</c:v>
                </c:pt>
                <c:pt idx="2">
                  <c:v>185</c:v>
                </c:pt>
                <c:pt idx="3">
                  <c:v>179</c:v>
                </c:pt>
                <c:pt idx="4">
                  <c:v>183</c:v>
                </c:pt>
                <c:pt idx="5">
                  <c:v>174</c:v>
                </c:pt>
                <c:pt idx="6">
                  <c:v>149</c:v>
                </c:pt>
                <c:pt idx="7">
                  <c:v>142</c:v>
                </c:pt>
              </c:numCache>
            </c:numRef>
          </c:xVal>
          <c:yVal>
            <c:numRef>
              <c:f>'July 2023 Data'!$K$20:$K$27</c:f>
              <c:numCache>
                <c:formatCode>General</c:formatCode>
                <c:ptCount val="8"/>
                <c:pt idx="0">
                  <c:v>177</c:v>
                </c:pt>
                <c:pt idx="1">
                  <c:v>177</c:v>
                </c:pt>
                <c:pt idx="2">
                  <c:v>204</c:v>
                </c:pt>
                <c:pt idx="3">
                  <c:v>190</c:v>
                </c:pt>
                <c:pt idx="4">
                  <c:v>188</c:v>
                </c:pt>
                <c:pt idx="5">
                  <c:v>189</c:v>
                </c:pt>
                <c:pt idx="6">
                  <c:v>184</c:v>
                </c:pt>
                <c:pt idx="7">
                  <c:v>182</c:v>
                </c:pt>
              </c:numCache>
            </c:numRef>
          </c:yVal>
          <c:smooth val="0"/>
          <c:extLst>
            <c:ext xmlns:c15="http://schemas.microsoft.com/office/drawing/2012/chart" uri="{02D57815-91ED-43cb-92C2-25804820EDAC}">
              <c15:datalabelsRange>
                <c15:f>'July 2023 Data'!$A$20:$A$27</c15:f>
                <c15:dlblRangeCache>
                  <c:ptCount val="8"/>
                  <c:pt idx="0">
                    <c:v>Onosho</c:v>
                  </c:pt>
                  <c:pt idx="1">
                    <c:v>Hiradoumi</c:v>
                  </c:pt>
                  <c:pt idx="2">
                    <c:v>Hokuseiho</c:v>
                  </c:pt>
                  <c:pt idx="3">
                    <c:v>Oho</c:v>
                  </c:pt>
                  <c:pt idx="4">
                    <c:v>Takayasu</c:v>
                  </c:pt>
                  <c:pt idx="5">
                    <c:v>Tamawashi</c:v>
                  </c:pt>
                  <c:pt idx="6">
                    <c:v>Nishikifuji</c:v>
                  </c:pt>
                  <c:pt idx="7">
                    <c:v>Sadanoumi</c:v>
                  </c:pt>
                </c15:dlblRangeCache>
              </c15:datalabelsRange>
            </c:ext>
            <c:ext xmlns:c16="http://schemas.microsoft.com/office/drawing/2014/chart" uri="{C3380CC4-5D6E-409C-BE32-E72D297353CC}">
              <c16:uniqueId val="{00000033-B068-400E-B7C8-831B11434695}"/>
            </c:ext>
          </c:extLst>
        </c:ser>
        <c:ser>
          <c:idx val="6"/>
          <c:order val="6"/>
          <c:tx>
            <c:v>M09-12</c:v>
          </c:tx>
          <c:spPr>
            <a:ln w="25400" cap="rnd">
              <a:noFill/>
              <a:round/>
            </a:ln>
            <a:effectLst/>
          </c:spPr>
          <c:marker>
            <c:symbol val="circle"/>
            <c:size val="5"/>
            <c:spPr>
              <a:solidFill>
                <a:schemeClr val="accent2">
                  <a:alpha val="52000"/>
                </a:schemeClr>
              </a:solidFill>
              <a:ln w="9525">
                <a:solidFill>
                  <a:schemeClr val="accent1">
                    <a:lumMod val="60000"/>
                  </a:schemeClr>
                </a:solidFill>
              </a:ln>
              <a:effectLst/>
            </c:spPr>
          </c:marker>
          <c:dLbls>
            <c:dLbl>
              <c:idx val="0"/>
              <c:layout>
                <c:manualLayout>
                  <c:x val="-3.373052050893021E-2"/>
                  <c:y val="2.424242424242417E-2"/>
                </c:manualLayout>
              </c:layout>
              <c:tx>
                <c:rich>
                  <a:bodyPr/>
                  <a:lstStyle/>
                  <a:p>
                    <a:fld id="{C316966B-D4B3-46C6-8460-D387702CF4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D-B068-400E-B7C8-831B11434695}"/>
                </c:ext>
              </c:extLst>
            </c:dLbl>
            <c:dLbl>
              <c:idx val="1"/>
              <c:tx>
                <c:rich>
                  <a:bodyPr/>
                  <a:lstStyle/>
                  <a:p>
                    <a:fld id="{1B07DDD1-AF73-4B26-9654-C6250AE0AE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B068-400E-B7C8-831B11434695}"/>
                </c:ext>
              </c:extLst>
            </c:dLbl>
            <c:dLbl>
              <c:idx val="2"/>
              <c:tx>
                <c:rich>
                  <a:bodyPr/>
                  <a:lstStyle/>
                  <a:p>
                    <a:fld id="{5A67D3A3-2C1F-4EFE-B6CE-620056A13C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B068-400E-B7C8-831B11434695}"/>
                </c:ext>
              </c:extLst>
            </c:dLbl>
            <c:dLbl>
              <c:idx val="3"/>
              <c:tx>
                <c:rich>
                  <a:bodyPr/>
                  <a:lstStyle/>
                  <a:p>
                    <a:fld id="{16F98C2D-B1F9-4286-B338-A752920FA6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B068-400E-B7C8-831B11434695}"/>
                </c:ext>
              </c:extLst>
            </c:dLbl>
            <c:dLbl>
              <c:idx val="4"/>
              <c:tx>
                <c:rich>
                  <a:bodyPr/>
                  <a:lstStyle/>
                  <a:p>
                    <a:fld id="{ABE8B8BA-51AA-4FF6-A271-C04D377655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B068-400E-B7C8-831B11434695}"/>
                </c:ext>
              </c:extLst>
            </c:dLbl>
            <c:dLbl>
              <c:idx val="5"/>
              <c:layout>
                <c:manualLayout>
                  <c:x val="-2.9330887399069704E-2"/>
                  <c:y val="2.8282828282828285E-2"/>
                </c:manualLayout>
              </c:layout>
              <c:tx>
                <c:rich>
                  <a:bodyPr/>
                  <a:lstStyle/>
                  <a:p>
                    <a:fld id="{FD7BE709-7F10-41C7-84AB-1F2C98549F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2-B068-400E-B7C8-831B11434695}"/>
                </c:ext>
              </c:extLst>
            </c:dLbl>
            <c:dLbl>
              <c:idx val="6"/>
              <c:layout>
                <c:manualLayout>
                  <c:x val="-2.4931254289209274E-2"/>
                  <c:y val="2.2222222222222223E-2"/>
                </c:manualLayout>
              </c:layout>
              <c:tx>
                <c:rich>
                  <a:bodyPr/>
                  <a:lstStyle/>
                  <a:p>
                    <a:fld id="{C7AD0DC4-D3CF-4430-8B45-06A8EF9E73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3-B068-400E-B7C8-831B11434695}"/>
                </c:ext>
              </c:extLst>
            </c:dLbl>
            <c:dLbl>
              <c:idx val="7"/>
              <c:tx>
                <c:rich>
                  <a:bodyPr/>
                  <a:lstStyle/>
                  <a:p>
                    <a:fld id="{17093FEA-B315-49FA-BF24-B9D3FC5404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B068-400E-B7C8-831B114346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'July 2023 Data'!$L$28:$L$35</c:f>
              <c:numCache>
                <c:formatCode>General</c:formatCode>
                <c:ptCount val="8"/>
                <c:pt idx="0">
                  <c:v>158</c:v>
                </c:pt>
                <c:pt idx="1">
                  <c:v>170</c:v>
                </c:pt>
                <c:pt idx="2">
                  <c:v>181</c:v>
                </c:pt>
                <c:pt idx="3">
                  <c:v>156</c:v>
                </c:pt>
                <c:pt idx="4">
                  <c:v>133</c:v>
                </c:pt>
                <c:pt idx="5">
                  <c:v>194</c:v>
                </c:pt>
                <c:pt idx="6">
                  <c:v>132</c:v>
                </c:pt>
                <c:pt idx="7">
                  <c:v>137</c:v>
                </c:pt>
              </c:numCache>
            </c:numRef>
          </c:xVal>
          <c:yVal>
            <c:numRef>
              <c:f>'July 2023 Data'!$K$28:$K$35</c:f>
              <c:numCache>
                <c:formatCode>General</c:formatCode>
                <c:ptCount val="8"/>
                <c:pt idx="0">
                  <c:v>184</c:v>
                </c:pt>
                <c:pt idx="1">
                  <c:v>183</c:v>
                </c:pt>
                <c:pt idx="2">
                  <c:v>192</c:v>
                </c:pt>
                <c:pt idx="3">
                  <c:v>188</c:v>
                </c:pt>
                <c:pt idx="4">
                  <c:v>176</c:v>
                </c:pt>
                <c:pt idx="5">
                  <c:v>185</c:v>
                </c:pt>
                <c:pt idx="6">
                  <c:v>182</c:v>
                </c:pt>
                <c:pt idx="7">
                  <c:v>184</c:v>
                </c:pt>
              </c:numCache>
            </c:numRef>
          </c:yVal>
          <c:smooth val="0"/>
          <c:extLst>
            <c:ext xmlns:c15="http://schemas.microsoft.com/office/drawing/2012/chart" uri="{02D57815-91ED-43cb-92C2-25804820EDAC}">
              <c15:datalabelsRange>
                <c15:f>'July 2023 Data'!$A$28:$A$35</c15:f>
                <c15:dlblRangeCache>
                  <c:ptCount val="8"/>
                  <c:pt idx="0">
                    <c:v>Hokutofuji</c:v>
                  </c:pt>
                  <c:pt idx="1">
                    <c:v>Takanosho</c:v>
                  </c:pt>
                  <c:pt idx="2">
                    <c:v>Kinbozan</c:v>
                  </c:pt>
                  <c:pt idx="3">
                    <c:v>Myogiryu</c:v>
                  </c:pt>
                  <c:pt idx="4">
                    <c:v>Kotoeko</c:v>
                  </c:pt>
                  <c:pt idx="5">
                    <c:v>Tsurugisho</c:v>
                  </c:pt>
                  <c:pt idx="6">
                    <c:v>Wakatakakage</c:v>
                  </c:pt>
                  <c:pt idx="7">
                    <c:v>Chiyoshoma</c:v>
                  </c:pt>
                </c15:dlblRangeCache>
              </c15:datalabelsRange>
            </c:ext>
            <c:ext xmlns:c16="http://schemas.microsoft.com/office/drawing/2014/chart" uri="{C3380CC4-5D6E-409C-BE32-E72D297353CC}">
              <c16:uniqueId val="{00000034-B068-400E-B7C8-831B11434695}"/>
            </c:ext>
          </c:extLst>
        </c:ser>
        <c:ser>
          <c:idx val="7"/>
          <c:order val="7"/>
          <c:tx>
            <c:v>M13-17</c:v>
          </c:tx>
          <c:spPr>
            <a:ln w="25400" cap="rnd">
              <a:noFill/>
              <a:round/>
            </a:ln>
            <a:effectLst/>
          </c:spPr>
          <c:marker>
            <c:symbol val="circle"/>
            <c:size val="4"/>
            <c:spPr>
              <a:solidFill>
                <a:schemeClr val="tx2">
                  <a:lumMod val="40000"/>
                  <a:lumOff val="60000"/>
                  <a:alpha val="48000"/>
                </a:schemeClr>
              </a:solidFill>
              <a:ln w="9525">
                <a:solidFill>
                  <a:schemeClr val="bg2">
                    <a:lumMod val="75000"/>
                  </a:schemeClr>
                </a:solidFill>
              </a:ln>
              <a:effectLst/>
            </c:spPr>
          </c:marker>
          <c:dLbls>
            <c:dLbl>
              <c:idx val="0"/>
              <c:tx>
                <c:rich>
                  <a:bodyPr/>
                  <a:lstStyle/>
                  <a:p>
                    <a:fld id="{C844AB85-F3A0-4DCF-A3AD-9ED49B11EA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B068-400E-B7C8-831B11434695}"/>
                </c:ext>
              </c:extLst>
            </c:dLbl>
            <c:dLbl>
              <c:idx val="1"/>
              <c:tx>
                <c:rich>
                  <a:bodyPr/>
                  <a:lstStyle/>
                  <a:p>
                    <a:fld id="{C912019D-851A-47FB-B8E5-E41E9E796A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B068-400E-B7C8-831B11434695}"/>
                </c:ext>
              </c:extLst>
            </c:dLbl>
            <c:dLbl>
              <c:idx val="2"/>
              <c:layout>
                <c:manualLayout>
                  <c:x val="0"/>
                  <c:y val="-3.0303030303030304E-2"/>
                </c:manualLayout>
              </c:layout>
              <c:tx>
                <c:rich>
                  <a:bodyPr/>
                  <a:lstStyle/>
                  <a:p>
                    <a:fld id="{4BDA51F1-E26C-4DFC-9E44-04A473F71B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B068-400E-B7C8-831B11434695}"/>
                </c:ext>
              </c:extLst>
            </c:dLbl>
            <c:dLbl>
              <c:idx val="3"/>
              <c:tx>
                <c:rich>
                  <a:bodyPr/>
                  <a:lstStyle/>
                  <a:p>
                    <a:fld id="{72C0345E-E8C3-4740-BF91-46548324A5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B068-400E-B7C8-831B11434695}"/>
                </c:ext>
              </c:extLst>
            </c:dLbl>
            <c:dLbl>
              <c:idx val="4"/>
              <c:layout>
                <c:manualLayout>
                  <c:x val="-3.0797431769023241E-2"/>
                  <c:y val="-2.2222222222222223E-2"/>
                </c:manualLayout>
              </c:layout>
              <c:tx>
                <c:rich>
                  <a:bodyPr/>
                  <a:lstStyle/>
                  <a:p>
                    <a:fld id="{C44D090F-04CF-4F95-91A3-7E542DBD56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B068-400E-B7C8-831B11434695}"/>
                </c:ext>
              </c:extLst>
            </c:dLbl>
            <c:dLbl>
              <c:idx val="5"/>
              <c:tx>
                <c:rich>
                  <a:bodyPr/>
                  <a:lstStyle/>
                  <a:p>
                    <a:fld id="{A923692D-E5DD-4EAC-B3E9-A174BBDF64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B068-400E-B7C8-831B11434695}"/>
                </c:ext>
              </c:extLst>
            </c:dLbl>
            <c:dLbl>
              <c:idx val="6"/>
              <c:layout>
                <c:manualLayout>
                  <c:x val="-1.4665443699535389E-3"/>
                  <c:y val="-6.0606060606061343E-3"/>
                </c:manualLayout>
              </c:layout>
              <c:tx>
                <c:rich>
                  <a:bodyPr/>
                  <a:lstStyle/>
                  <a:p>
                    <a:fld id="{1BE6C8A0-5970-4AED-B768-10FE59661F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B068-400E-B7C8-831B11434695}"/>
                </c:ext>
              </c:extLst>
            </c:dLbl>
            <c:dLbl>
              <c:idx val="7"/>
              <c:tx>
                <c:rich>
                  <a:bodyPr/>
                  <a:lstStyle/>
                  <a:p>
                    <a:fld id="{7F2FC506-817D-4E7A-8EB9-29C2E5AEE6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B068-400E-B7C8-831B11434695}"/>
                </c:ext>
              </c:extLst>
            </c:dLbl>
            <c:dLbl>
              <c:idx val="8"/>
              <c:tx>
                <c:rich>
                  <a:bodyPr/>
                  <a:lstStyle/>
                  <a:p>
                    <a:fld id="{87734668-0DE7-41B8-A40C-7F6E29E0B6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B068-400E-B7C8-831B11434695}"/>
                </c:ext>
              </c:extLst>
            </c:dLbl>
            <c:dLbl>
              <c:idx val="9"/>
              <c:layout>
                <c:manualLayout>
                  <c:x val="-5.8661774798139405E-3"/>
                  <c:y val="1.2121212121212196E-2"/>
                </c:manualLayout>
              </c:layout>
              <c:tx>
                <c:rich>
                  <a:bodyPr/>
                  <a:lstStyle/>
                  <a:p>
                    <a:fld id="{58DE462B-F948-42ED-BD0C-31425AC1A9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5-B068-400E-B7C8-831B114346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'July 2023 Data'!$L$36:$L$45</c:f>
              <c:numCache>
                <c:formatCode>General</c:formatCode>
                <c:ptCount val="10"/>
                <c:pt idx="0">
                  <c:v>161</c:v>
                </c:pt>
                <c:pt idx="1">
                  <c:v>154</c:v>
                </c:pt>
                <c:pt idx="2">
                  <c:v>196</c:v>
                </c:pt>
                <c:pt idx="3">
                  <c:v>186</c:v>
                </c:pt>
                <c:pt idx="4">
                  <c:v>155</c:v>
                </c:pt>
                <c:pt idx="5">
                  <c:v>171</c:v>
                </c:pt>
                <c:pt idx="6">
                  <c:v>150</c:v>
                </c:pt>
                <c:pt idx="7">
                  <c:v>171</c:v>
                </c:pt>
                <c:pt idx="8">
                  <c:v>186</c:v>
                </c:pt>
                <c:pt idx="9">
                  <c:v>162</c:v>
                </c:pt>
              </c:numCache>
            </c:numRef>
          </c:xVal>
          <c:yVal>
            <c:numRef>
              <c:f>'July 2023 Data'!$K$36:$K$45</c:f>
              <c:numCache>
                <c:formatCode>General</c:formatCode>
                <c:ptCount val="10"/>
                <c:pt idx="0">
                  <c:v>191</c:v>
                </c:pt>
                <c:pt idx="1">
                  <c:v>177</c:v>
                </c:pt>
                <c:pt idx="2">
                  <c:v>185</c:v>
                </c:pt>
                <c:pt idx="3">
                  <c:v>193</c:v>
                </c:pt>
                <c:pt idx="4">
                  <c:v>188</c:v>
                </c:pt>
                <c:pt idx="5">
                  <c:v>186</c:v>
                </c:pt>
                <c:pt idx="6">
                  <c:v>184</c:v>
                </c:pt>
                <c:pt idx="7">
                  <c:v>171</c:v>
                </c:pt>
                <c:pt idx="8">
                  <c:v>191</c:v>
                </c:pt>
                <c:pt idx="9">
                  <c:v>181</c:v>
                </c:pt>
              </c:numCache>
            </c:numRef>
          </c:yVal>
          <c:smooth val="0"/>
          <c:extLst>
            <c:ext xmlns:c15="http://schemas.microsoft.com/office/drawing/2012/chart" uri="{02D57815-91ED-43cb-92C2-25804820EDAC}">
              <c15:datalabelsRange>
                <c15:f>'July 2023 Data'!$A$36:$A$45</c15:f>
                <c15:dlblRangeCache>
                  <c:ptCount val="10"/>
                  <c:pt idx="0">
                    <c:v>Kotoshoho</c:v>
                  </c:pt>
                  <c:pt idx="1">
                    <c:v>Gonoyama</c:v>
                  </c:pt>
                  <c:pt idx="2">
                    <c:v>Daishoho</c:v>
                  </c:pt>
                  <c:pt idx="3">
                    <c:v>Shonannoumi</c:v>
                  </c:pt>
                  <c:pt idx="4">
                    <c:v>Ryuden</c:v>
                  </c:pt>
                  <c:pt idx="5">
                    <c:v>Takarafuji</c:v>
                  </c:pt>
                  <c:pt idx="6">
                    <c:v>Endo</c:v>
                  </c:pt>
                  <c:pt idx="7">
                    <c:v>Bushozan</c:v>
                  </c:pt>
                  <c:pt idx="8">
                    <c:v>Aoiyama</c:v>
                  </c:pt>
                  <c:pt idx="9">
                    <c:v>Hakuoho</c:v>
                  </c:pt>
                </c15:dlblRangeCache>
              </c15:datalabelsRange>
            </c:ext>
            <c:ext xmlns:c16="http://schemas.microsoft.com/office/drawing/2014/chart" uri="{C3380CC4-5D6E-409C-BE32-E72D297353CC}">
              <c16:uniqueId val="{00000031-B068-400E-B7C8-831B11434695}"/>
            </c:ext>
          </c:extLst>
        </c:ser>
        <c:dLbls>
          <c:showLegendKey val="0"/>
          <c:showVal val="0"/>
          <c:showCatName val="0"/>
          <c:showSerName val="0"/>
          <c:showPercent val="0"/>
          <c:showBubbleSize val="0"/>
        </c:dLbls>
        <c:axId val="745971600"/>
        <c:axId val="745971928"/>
      </c:scatterChart>
      <c:valAx>
        <c:axId val="745971600"/>
        <c:scaling>
          <c:orientation val="minMax"/>
          <c:max val="205"/>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in val="16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7.6658699212096157E-2"/>
          <c:h val="0.272729181579575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September 2023 Makuuchi Wrestlers,</a:t>
            </a:r>
            <a:r>
              <a:rPr lang="en-US" sz="2000" baseline="0"/>
              <a:t> Change from July</a:t>
            </a:r>
            <a:endParaRPr lang="en-US" sz="2000"/>
          </a:p>
        </c:rich>
      </c:tx>
      <c:layout>
        <c:manualLayout>
          <c:xMode val="edge"/>
          <c:yMode val="edge"/>
          <c:x val="0.16624175824175821"/>
          <c:y val="3.643724696356275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45900031726796E-2"/>
          <c:y val="3.2363320475628808E-2"/>
          <c:w val="0.88523688385105714"/>
          <c:h val="0.85133459785138199"/>
        </c:manualLayout>
      </c:layout>
      <c:barChart>
        <c:barDir val="col"/>
        <c:grouping val="clustered"/>
        <c:varyColors val="0"/>
        <c:ser>
          <c:idx val="1"/>
          <c:order val="0"/>
          <c:tx>
            <c:strRef>
              <c:f>'September 2023 Data'!$AB$3</c:f>
              <c:strCache>
                <c:ptCount val="1"/>
                <c:pt idx="0">
                  <c:v>Number of wrestlers</c:v>
                </c:pt>
              </c:strCache>
            </c:strRef>
          </c:tx>
          <c:spPr>
            <a:solidFill>
              <a:schemeClr val="accent5"/>
            </a:solidFill>
            <a:ln>
              <a:noFill/>
            </a:ln>
            <a:effectLst/>
          </c:spPr>
          <c:invertIfNegative val="0"/>
          <c:cat>
            <c:numRef>
              <c:f>'September 2023 Data'!$AA$4:$AA$16</c:f>
              <c:numCache>
                <c:formatCode>General</c:formatCode>
                <c:ptCount val="13"/>
                <c:pt idx="0">
                  <c:v>-7</c:v>
                </c:pt>
                <c:pt idx="1">
                  <c:v>-6</c:v>
                </c:pt>
                <c:pt idx="2">
                  <c:v>-5</c:v>
                </c:pt>
                <c:pt idx="3">
                  <c:v>-4</c:v>
                </c:pt>
                <c:pt idx="4">
                  <c:v>-3</c:v>
                </c:pt>
                <c:pt idx="5">
                  <c:v>-2</c:v>
                </c:pt>
                <c:pt idx="6">
                  <c:v>-1</c:v>
                </c:pt>
                <c:pt idx="7">
                  <c:v>0</c:v>
                </c:pt>
                <c:pt idx="8">
                  <c:v>1</c:v>
                </c:pt>
                <c:pt idx="9">
                  <c:v>2</c:v>
                </c:pt>
                <c:pt idx="10">
                  <c:v>3</c:v>
                </c:pt>
                <c:pt idx="11">
                  <c:v>4</c:v>
                </c:pt>
                <c:pt idx="12">
                  <c:v>5</c:v>
                </c:pt>
              </c:numCache>
            </c:numRef>
          </c:cat>
          <c:val>
            <c:numRef>
              <c:f>'September 2023 Data'!$AB$4:$AB$16</c:f>
              <c:numCache>
                <c:formatCode>General</c:formatCode>
                <c:ptCount val="13"/>
                <c:pt idx="0">
                  <c:v>1</c:v>
                </c:pt>
                <c:pt idx="1">
                  <c:v>3</c:v>
                </c:pt>
                <c:pt idx="2">
                  <c:v>1</c:v>
                </c:pt>
                <c:pt idx="3">
                  <c:v>3</c:v>
                </c:pt>
                <c:pt idx="4">
                  <c:v>0</c:v>
                </c:pt>
                <c:pt idx="5">
                  <c:v>4</c:v>
                </c:pt>
                <c:pt idx="6">
                  <c:v>6</c:v>
                </c:pt>
                <c:pt idx="7">
                  <c:v>5</c:v>
                </c:pt>
                <c:pt idx="8">
                  <c:v>2</c:v>
                </c:pt>
                <c:pt idx="9">
                  <c:v>5</c:v>
                </c:pt>
                <c:pt idx="10">
                  <c:v>5</c:v>
                </c:pt>
                <c:pt idx="11">
                  <c:v>4</c:v>
                </c:pt>
                <c:pt idx="12">
                  <c:v>3</c:v>
                </c:pt>
              </c:numCache>
            </c:numRef>
          </c:val>
          <c:extLst>
            <c:ext xmlns:c16="http://schemas.microsoft.com/office/drawing/2014/chart" uri="{C3380CC4-5D6E-409C-BE32-E72D297353CC}">
              <c16:uniqueId val="{00000000-E60F-4F8D-93F8-B1E4367A0DCC}"/>
            </c:ext>
          </c:extLst>
        </c:ser>
        <c:dLbls>
          <c:showLegendKey val="0"/>
          <c:showVal val="0"/>
          <c:showCatName val="0"/>
          <c:showSerName val="0"/>
          <c:showPercent val="0"/>
          <c:showBubbleSize val="0"/>
        </c:dLbls>
        <c:gapWidth val="59"/>
        <c:overlap val="-27"/>
        <c:axId val="2025527919"/>
        <c:axId val="2073753071"/>
      </c:barChart>
      <c:catAx>
        <c:axId val="202552791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2400"/>
                  <a:t>Change in weight in kilograms</a:t>
                </a:r>
              </a:p>
            </c:rich>
          </c:tx>
          <c:layout>
            <c:manualLayout>
              <c:xMode val="edge"/>
              <c:yMode val="edge"/>
              <c:x val="0.3241177929681866"/>
              <c:y val="0.9341061238802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2073753071"/>
        <c:crosses val="autoZero"/>
        <c:auto val="1"/>
        <c:lblAlgn val="ctr"/>
        <c:lblOffset val="100"/>
        <c:noMultiLvlLbl val="0"/>
      </c:catAx>
      <c:valAx>
        <c:axId val="20737530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2000"/>
                  <a:t>Number of wrestlers</a:t>
                </a:r>
              </a:p>
            </c:rich>
          </c:tx>
          <c:layout>
            <c:manualLayout>
              <c:xMode val="edge"/>
              <c:yMode val="edge"/>
              <c:x val="0"/>
              <c:y val="3.7215881921642366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202552791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September 2023 Makuuchi Wrestlers,</a:t>
            </a:r>
            <a:r>
              <a:rPr lang="en-US" sz="2000" baseline="0"/>
              <a:t> Change from July</a:t>
            </a:r>
            <a:endParaRPr lang="en-US" sz="2000"/>
          </a:p>
        </c:rich>
      </c:tx>
      <c:layout>
        <c:manualLayout>
          <c:xMode val="edge"/>
          <c:yMode val="edge"/>
          <c:x val="0.16624175824175821"/>
          <c:y val="3.643724696356275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45900031726796E-2"/>
          <c:y val="3.2363320475628808E-2"/>
          <c:w val="0.88523688385105714"/>
          <c:h val="0.85133459785138199"/>
        </c:manualLayout>
      </c:layout>
      <c:barChart>
        <c:barDir val="col"/>
        <c:grouping val="clustered"/>
        <c:varyColors val="0"/>
        <c:ser>
          <c:idx val="1"/>
          <c:order val="0"/>
          <c:tx>
            <c:strRef>
              <c:f>'September 2023 Data'!$AB$3</c:f>
              <c:strCache>
                <c:ptCount val="1"/>
                <c:pt idx="0">
                  <c:v>Number of wrestlers</c:v>
                </c:pt>
              </c:strCache>
            </c:strRef>
          </c:tx>
          <c:spPr>
            <a:solidFill>
              <a:schemeClr val="accent2"/>
            </a:solidFill>
            <a:ln>
              <a:noFill/>
            </a:ln>
            <a:effectLst/>
          </c:spPr>
          <c:invertIfNegative val="0"/>
          <c:cat>
            <c:numRef>
              <c:f>'September 2023 Data'!$AD$4:$AD$8</c:f>
              <c:numCache>
                <c:formatCode>General</c:formatCode>
                <c:ptCount val="5"/>
                <c:pt idx="0">
                  <c:v>-1</c:v>
                </c:pt>
                <c:pt idx="1">
                  <c:v>0</c:v>
                </c:pt>
                <c:pt idx="2">
                  <c:v>1</c:v>
                </c:pt>
                <c:pt idx="3">
                  <c:v>2</c:v>
                </c:pt>
                <c:pt idx="4">
                  <c:v>3</c:v>
                </c:pt>
              </c:numCache>
            </c:numRef>
          </c:cat>
          <c:val>
            <c:numRef>
              <c:f>'September 2023 Data'!$AE$4:$AE$8</c:f>
              <c:numCache>
                <c:formatCode>General</c:formatCode>
                <c:ptCount val="5"/>
                <c:pt idx="0">
                  <c:v>7</c:v>
                </c:pt>
                <c:pt idx="1">
                  <c:v>27</c:v>
                </c:pt>
                <c:pt idx="2">
                  <c:v>7</c:v>
                </c:pt>
                <c:pt idx="3">
                  <c:v>0</c:v>
                </c:pt>
                <c:pt idx="4">
                  <c:v>1</c:v>
                </c:pt>
              </c:numCache>
            </c:numRef>
          </c:val>
          <c:extLst>
            <c:ext xmlns:c16="http://schemas.microsoft.com/office/drawing/2014/chart" uri="{C3380CC4-5D6E-409C-BE32-E72D297353CC}">
              <c16:uniqueId val="{00000000-D27A-4F2C-9FD1-7F68E67EB81E}"/>
            </c:ext>
          </c:extLst>
        </c:ser>
        <c:dLbls>
          <c:showLegendKey val="0"/>
          <c:showVal val="0"/>
          <c:showCatName val="0"/>
          <c:showSerName val="0"/>
          <c:showPercent val="0"/>
          <c:showBubbleSize val="0"/>
        </c:dLbls>
        <c:gapWidth val="59"/>
        <c:overlap val="-27"/>
        <c:axId val="2025527919"/>
        <c:axId val="2073753071"/>
      </c:barChart>
      <c:catAx>
        <c:axId val="202552791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2400"/>
                  <a:t>Change in height in centimeters</a:t>
                </a:r>
              </a:p>
            </c:rich>
          </c:tx>
          <c:layout>
            <c:manualLayout>
              <c:xMode val="edge"/>
              <c:yMode val="edge"/>
              <c:x val="0.3241177929681866"/>
              <c:y val="0.9341061238802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2073753071"/>
        <c:crosses val="autoZero"/>
        <c:auto val="1"/>
        <c:lblAlgn val="ctr"/>
        <c:lblOffset val="100"/>
        <c:noMultiLvlLbl val="0"/>
      </c:catAx>
      <c:valAx>
        <c:axId val="20737530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2000"/>
                  <a:t>Number of wrestlers</a:t>
                </a:r>
              </a:p>
            </c:rich>
          </c:tx>
          <c:layout>
            <c:manualLayout>
              <c:xMode val="edge"/>
              <c:yMode val="edge"/>
              <c:x val="0"/>
              <c:y val="3.7215881921642366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202552791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September 2023 Makuuchi Wrestlers UPDATE </a:t>
            </a:r>
          </a:p>
        </c:rich>
      </c:tx>
      <c:layout>
        <c:manualLayout>
          <c:xMode val="edge"/>
          <c:yMode val="edge"/>
          <c:x val="0.32398898221012395"/>
          <c:y val="2.021217980663809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7817913620074707"/>
          <c:y val="7.2903259244493174E-2"/>
          <c:w val="0.78402478205938153"/>
          <c:h val="0.85594431898299383"/>
        </c:manualLayout>
      </c:layout>
      <c:scatterChart>
        <c:scatterStyle val="lineMarker"/>
        <c:varyColors val="0"/>
        <c:ser>
          <c:idx val="0"/>
          <c:order val="0"/>
          <c:tx>
            <c:v>Yokozuna</c:v>
          </c:tx>
          <c:spPr>
            <a:ln w="25400" cap="rnd">
              <a:noFill/>
              <a:round/>
            </a:ln>
            <a:effectLst/>
          </c:spPr>
          <c:marker>
            <c:symbol val="circle"/>
            <c:size val="20"/>
            <c:spPr>
              <a:solidFill>
                <a:schemeClr val="accent1"/>
              </a:solidFill>
              <a:ln w="31750" cmpd="tri">
                <a:solidFill>
                  <a:schemeClr val="accent6">
                    <a:lumMod val="60000"/>
                    <a:alpha val="85000"/>
                  </a:schemeClr>
                </a:solidFill>
              </a:ln>
              <a:effectLst/>
            </c:spPr>
          </c:marker>
          <c:dPt>
            <c:idx val="0"/>
            <c:marker>
              <c:symbol val="circle"/>
              <c:size val="25"/>
              <c:spPr>
                <a:solidFill>
                  <a:schemeClr val="accent1"/>
                </a:solidFill>
                <a:ln w="31750" cmpd="tri">
                  <a:solidFill>
                    <a:schemeClr val="accent6">
                      <a:lumMod val="60000"/>
                      <a:alpha val="85000"/>
                    </a:schemeClr>
                  </a:solidFill>
                </a:ln>
                <a:effectLst/>
              </c:spPr>
            </c:marker>
            <c:bubble3D val="0"/>
            <c:extLst>
              <c:ext xmlns:c16="http://schemas.microsoft.com/office/drawing/2014/chart" uri="{C3380CC4-5D6E-409C-BE32-E72D297353CC}">
                <c16:uniqueId val="{00000000-BD1C-4FAB-9C49-2F8476A5A79D}"/>
              </c:ext>
            </c:extLst>
          </c:dPt>
          <c:dLbls>
            <c:dLbl>
              <c:idx val="0"/>
              <c:layout>
                <c:manualLayout>
                  <c:x val="-6.0128319168092997E-2"/>
                  <c:y val="-4.4444373567228149E-2"/>
                </c:manualLayout>
              </c:layout>
              <c:tx>
                <c:rich>
                  <a:bodyPr/>
                  <a:lstStyle/>
                  <a:p>
                    <a:fld id="{01F6B1DF-BF93-4FCC-B059-93043C28FB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D1C-4FAB-9C49-2F8476A5A79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'July 2023 Data'!$L$4</c:f>
              <c:numCache>
                <c:formatCode>General</c:formatCode>
                <c:ptCount val="1"/>
                <c:pt idx="0">
                  <c:v>174</c:v>
                </c:pt>
              </c:numCache>
            </c:numRef>
          </c:xVal>
          <c:yVal>
            <c:numRef>
              <c:f>'July 2023 Data'!$K$4</c:f>
              <c:numCache>
                <c:formatCode>General</c:formatCode>
                <c:ptCount val="1"/>
                <c:pt idx="0">
                  <c:v>192</c:v>
                </c:pt>
              </c:numCache>
            </c:numRef>
          </c:yVal>
          <c:smooth val="0"/>
          <c:extLst>
            <c:ext xmlns:c15="http://schemas.microsoft.com/office/drawing/2012/chart" uri="{02D57815-91ED-43cb-92C2-25804820EDAC}">
              <c15:datalabelsRange>
                <c15:f>'May 2023 Data'!$A$4</c15:f>
                <c15:dlblRangeCache>
                  <c:ptCount val="1"/>
                  <c:pt idx="0">
                    <c:v>Terunofuji</c:v>
                  </c:pt>
                </c15:dlblRangeCache>
              </c15:datalabelsRange>
            </c:ext>
            <c:ext xmlns:c16="http://schemas.microsoft.com/office/drawing/2014/chart" uri="{C3380CC4-5D6E-409C-BE32-E72D297353CC}">
              <c16:uniqueId val="{00000001-BD1C-4FAB-9C49-2F8476A5A79D}"/>
            </c:ext>
          </c:extLst>
        </c:ser>
        <c:ser>
          <c:idx val="1"/>
          <c:order val="1"/>
          <c:tx>
            <c:v>Ozeki</c:v>
          </c:tx>
          <c:spPr>
            <a:ln w="25400" cap="rnd">
              <a:noFill/>
              <a:round/>
            </a:ln>
            <a:effectLst/>
          </c:spPr>
          <c:marker>
            <c:symbol val="circle"/>
            <c:size val="20"/>
            <c:spPr>
              <a:solidFill>
                <a:schemeClr val="accent2"/>
              </a:solidFill>
              <a:ln w="25400" cmpd="thickThin">
                <a:solidFill>
                  <a:schemeClr val="accent6">
                    <a:lumMod val="60000"/>
                  </a:schemeClr>
                </a:solidFill>
              </a:ln>
              <a:effectLst/>
            </c:spPr>
          </c:marker>
          <c:dLbls>
            <c:dLbl>
              <c:idx val="0"/>
              <c:tx>
                <c:rich>
                  <a:bodyPr/>
                  <a:lstStyle/>
                  <a:p>
                    <a:fld id="{95DDC328-0502-45DC-A6D6-0514708BC2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D1C-4FAB-9C49-2F8476A5A79D}"/>
                </c:ext>
              </c:extLst>
            </c:dLbl>
            <c:dLbl>
              <c:idx val="1"/>
              <c:layout>
                <c:manualLayout>
                  <c:x val="-7.9193395977488257E-2"/>
                  <c:y val="3.0297936808531843E-2"/>
                </c:manualLayout>
              </c:layout>
              <c:tx>
                <c:rich>
                  <a:bodyPr/>
                  <a:lstStyle/>
                  <a:p>
                    <a:fld id="{2E2883E2-B490-4CD7-9618-112D0078A8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D1C-4FAB-9C49-2F8476A5A79D}"/>
                </c:ext>
              </c:extLst>
            </c:dLbl>
            <c:dLbl>
              <c:idx val="2"/>
              <c:layout>
                <c:manualLayout>
                  <c:x val="-9.3858839677023048E-2"/>
                  <c:y val="-3.948410246187581E-3"/>
                </c:manualLayout>
              </c:layout>
              <c:tx>
                <c:rich>
                  <a:bodyPr/>
                  <a:lstStyle/>
                  <a:p>
                    <a:fld id="{1B932FB6-CD2E-43F0-B637-672D4A49C4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BD1C-4FAB-9C49-2F8476A5A79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2023 Data'!$M$5:$M$7</c:f>
              <c:numCache>
                <c:formatCode>General</c:formatCode>
                <c:ptCount val="3"/>
                <c:pt idx="0">
                  <c:v>165</c:v>
                </c:pt>
                <c:pt idx="1">
                  <c:v>145</c:v>
                </c:pt>
                <c:pt idx="2">
                  <c:v>140</c:v>
                </c:pt>
              </c:numCache>
            </c:numRef>
          </c:xVal>
          <c:yVal>
            <c:numRef>
              <c:f>'September 2023 Data'!$L$5:$L$7</c:f>
              <c:numCache>
                <c:formatCode>General</c:formatCode>
                <c:ptCount val="3"/>
                <c:pt idx="0">
                  <c:v>175</c:v>
                </c:pt>
                <c:pt idx="1">
                  <c:v>186</c:v>
                </c:pt>
                <c:pt idx="2">
                  <c:v>187</c:v>
                </c:pt>
              </c:numCache>
            </c:numRef>
          </c:yVal>
          <c:smooth val="0"/>
          <c:extLst>
            <c:ext xmlns:c15="http://schemas.microsoft.com/office/drawing/2012/chart" uri="{02D57815-91ED-43cb-92C2-25804820EDAC}">
              <c15:datalabelsRange>
                <c15:f>'September 2023 Data'!$A$5:$A$7</c15:f>
                <c15:dlblRangeCache>
                  <c:ptCount val="3"/>
                  <c:pt idx="0">
                    <c:v>Takakeisho</c:v>
                  </c:pt>
                  <c:pt idx="1">
                    <c:v>Kirishima</c:v>
                  </c:pt>
                  <c:pt idx="2">
                    <c:v>Hoshoryu</c:v>
                  </c:pt>
                </c15:dlblRangeCache>
              </c15:datalabelsRange>
            </c:ext>
            <c:ext xmlns:c16="http://schemas.microsoft.com/office/drawing/2014/chart" uri="{C3380CC4-5D6E-409C-BE32-E72D297353CC}">
              <c16:uniqueId val="{00000004-BD1C-4FAB-9C49-2F8476A5A79D}"/>
            </c:ext>
          </c:extLst>
        </c:ser>
        <c:ser>
          <c:idx val="2"/>
          <c:order val="2"/>
          <c:tx>
            <c:v>Sekiwake</c:v>
          </c:tx>
          <c:spPr>
            <a:ln w="25400" cap="rnd">
              <a:noFill/>
              <a:round/>
            </a:ln>
            <a:effectLst/>
          </c:spPr>
          <c:marker>
            <c:symbol val="circle"/>
            <c:size val="15"/>
            <c:spPr>
              <a:solidFill>
                <a:schemeClr val="accent3"/>
              </a:solidFill>
              <a:ln w="25400" cmpd="dbl">
                <a:solidFill>
                  <a:schemeClr val="accent6">
                    <a:lumMod val="60000"/>
                  </a:schemeClr>
                </a:solidFill>
              </a:ln>
              <a:effectLst/>
            </c:spPr>
          </c:marker>
          <c:dLbls>
            <c:dLbl>
              <c:idx val="0"/>
              <c:layout>
                <c:manualLayout>
                  <c:x val="-4.399633109860461E-2"/>
                  <c:y val="-3.6455696202531647E-2"/>
                </c:manualLayout>
              </c:layout>
              <c:tx>
                <c:rich>
                  <a:bodyPr/>
                  <a:lstStyle/>
                  <a:p>
                    <a:fld id="{0941284B-BBBC-40F0-B3E3-8A7FB5504A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D1C-4FAB-9C49-2F8476A5A79D}"/>
                </c:ext>
              </c:extLst>
            </c:dLbl>
            <c:dLbl>
              <c:idx val="1"/>
              <c:tx>
                <c:rich>
                  <a:bodyPr/>
                  <a:lstStyle/>
                  <a:p>
                    <a:fld id="{6F915DC7-7BB5-49D4-A0FF-B5E57091D5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D1C-4FAB-9C49-2F8476A5A79D}"/>
                </c:ext>
              </c:extLst>
            </c:dLbl>
            <c:dLbl>
              <c:idx val="2"/>
              <c:layout>
                <c:manualLayout>
                  <c:x val="-3.226397613897667E-2"/>
                  <c:y val="-1.216210505332403E-2"/>
                </c:manualLayout>
              </c:layout>
              <c:tx>
                <c:rich>
                  <a:bodyPr/>
                  <a:lstStyle/>
                  <a:p>
                    <a:fld id="{0FB4BB5A-F843-4FEC-BD1D-06A19D2AD8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D1C-4FAB-9C49-2F8476A5A79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2023 Data'!$M$8:$M$10</c:f>
              <c:numCache>
                <c:formatCode>General</c:formatCode>
                <c:ptCount val="3"/>
                <c:pt idx="0">
                  <c:v>145</c:v>
                </c:pt>
                <c:pt idx="1">
                  <c:v>167</c:v>
                </c:pt>
                <c:pt idx="2">
                  <c:v>170</c:v>
                </c:pt>
              </c:numCache>
            </c:numRef>
          </c:xVal>
          <c:yVal>
            <c:numRef>
              <c:f>'September 2023 Data'!$L$8:$L$10</c:f>
              <c:numCache>
                <c:formatCode>General</c:formatCode>
                <c:ptCount val="3"/>
                <c:pt idx="0">
                  <c:v>187</c:v>
                </c:pt>
                <c:pt idx="1">
                  <c:v>182</c:v>
                </c:pt>
                <c:pt idx="2">
                  <c:v>189</c:v>
                </c:pt>
              </c:numCache>
            </c:numRef>
          </c:yVal>
          <c:smooth val="0"/>
          <c:extLst>
            <c:ext xmlns:c15="http://schemas.microsoft.com/office/drawing/2012/chart" uri="{02D57815-91ED-43cb-92C2-25804820EDAC}">
              <c15:datalabelsRange>
                <c15:f>'September 2023 Data'!$A$8:$A$10</c15:f>
                <c15:dlblRangeCache>
                  <c:ptCount val="3"/>
                  <c:pt idx="0">
                    <c:v>Wakamotoharu</c:v>
                  </c:pt>
                  <c:pt idx="1">
                    <c:v>Daieisho</c:v>
                  </c:pt>
                  <c:pt idx="2">
                    <c:v>Kotonowaka</c:v>
                  </c:pt>
                </c15:dlblRangeCache>
              </c15:datalabelsRange>
            </c:ext>
            <c:ext xmlns:c16="http://schemas.microsoft.com/office/drawing/2014/chart" uri="{C3380CC4-5D6E-409C-BE32-E72D297353CC}">
              <c16:uniqueId val="{00000008-BD1C-4FAB-9C49-2F8476A5A79D}"/>
            </c:ext>
          </c:extLst>
        </c:ser>
        <c:ser>
          <c:idx val="3"/>
          <c:order val="3"/>
          <c:tx>
            <c:v>Komusubi</c:v>
          </c:tx>
          <c:spPr>
            <a:ln w="25400" cap="rnd">
              <a:noFill/>
              <a:round/>
            </a:ln>
            <a:effectLst/>
          </c:spPr>
          <c:marker>
            <c:symbol val="circle"/>
            <c:size val="12"/>
            <c:spPr>
              <a:solidFill>
                <a:schemeClr val="accent4"/>
              </a:solidFill>
              <a:ln w="25400" cmpd="sng">
                <a:solidFill>
                  <a:schemeClr val="accent6">
                    <a:lumMod val="60000"/>
                  </a:schemeClr>
                </a:solidFill>
              </a:ln>
              <a:effectLst/>
            </c:spPr>
          </c:marker>
          <c:dLbls>
            <c:dLbl>
              <c:idx val="0"/>
              <c:tx>
                <c:rich>
                  <a:bodyPr/>
                  <a:lstStyle/>
                  <a:p>
                    <a:fld id="{DB72B431-2B2D-4BC3-97A8-28F0A9B1E2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D1C-4FAB-9C49-2F8476A5A79D}"/>
                </c:ext>
              </c:extLst>
            </c:dLbl>
            <c:dLbl>
              <c:idx val="1"/>
              <c:layout>
                <c:manualLayout>
                  <c:x val="-2.346470991925587E-2"/>
                  <c:y val="4.4556962025316456E-2"/>
                </c:manualLayout>
              </c:layout>
              <c:tx>
                <c:rich>
                  <a:bodyPr/>
                  <a:lstStyle/>
                  <a:p>
                    <a:fld id="{3E9302BE-5EAA-43C1-94BD-472CC27628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D1C-4FAB-9C49-2F8476A5A79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2023 Data'!$M$11:$M$12</c:f>
              <c:numCache>
                <c:formatCode>General</c:formatCode>
                <c:ptCount val="2"/>
                <c:pt idx="0">
                  <c:v>135</c:v>
                </c:pt>
                <c:pt idx="1">
                  <c:v>184</c:v>
                </c:pt>
              </c:numCache>
            </c:numRef>
          </c:xVal>
          <c:yVal>
            <c:numRef>
              <c:f>'September 2023 Data'!$L$11:$L$12</c:f>
              <c:numCache>
                <c:formatCode>General</c:formatCode>
                <c:ptCount val="2"/>
                <c:pt idx="0">
                  <c:v>173</c:v>
                </c:pt>
                <c:pt idx="1">
                  <c:v>185</c:v>
                </c:pt>
              </c:numCache>
            </c:numRef>
          </c:yVal>
          <c:smooth val="0"/>
          <c:extLst>
            <c:ext xmlns:c15="http://schemas.microsoft.com/office/drawing/2012/chart" uri="{02D57815-91ED-43cb-92C2-25804820EDAC}">
              <c15:datalabelsRange>
                <c15:f>'September 2023 Data'!$A$11:$A$12</c15:f>
                <c15:dlblRangeCache>
                  <c:ptCount val="2"/>
                  <c:pt idx="0">
                    <c:v>Tobizaru</c:v>
                  </c:pt>
                  <c:pt idx="1">
                    <c:v>Nishikigi</c:v>
                  </c:pt>
                </c15:dlblRangeCache>
              </c15:datalabelsRange>
            </c:ext>
            <c:ext xmlns:c16="http://schemas.microsoft.com/office/drawing/2014/chart" uri="{C3380CC4-5D6E-409C-BE32-E72D297353CC}">
              <c16:uniqueId val="{0000000B-BD1C-4FAB-9C49-2F8476A5A79D}"/>
            </c:ext>
          </c:extLst>
        </c:ser>
        <c:ser>
          <c:idx val="4"/>
          <c:order val="4"/>
          <c:tx>
            <c:v>M01-04</c:v>
          </c:tx>
          <c:spPr>
            <a:ln w="25400" cap="rnd">
              <a:noFill/>
              <a:round/>
            </a:ln>
            <a:effectLst/>
          </c:spPr>
          <c:marker>
            <c:symbol val="circle"/>
            <c:size val="9"/>
            <c:spPr>
              <a:solidFill>
                <a:schemeClr val="accent1">
                  <a:alpha val="73000"/>
                </a:schemeClr>
              </a:solidFill>
              <a:ln w="9525">
                <a:solidFill>
                  <a:schemeClr val="tx1">
                    <a:lumMod val="50000"/>
                    <a:lumOff val="50000"/>
                  </a:schemeClr>
                </a:solidFill>
              </a:ln>
              <a:effectLst/>
            </c:spPr>
          </c:marker>
          <c:dLbls>
            <c:dLbl>
              <c:idx val="0"/>
              <c:layout>
                <c:manualLayout>
                  <c:x val="-6.5994496647906825E-2"/>
                  <c:y val="1.6202531645569621E-2"/>
                </c:manualLayout>
              </c:layout>
              <c:tx>
                <c:rich>
                  <a:bodyPr/>
                  <a:lstStyle/>
                  <a:p>
                    <a:fld id="{C0EAF28F-0CF8-4DBD-B495-C612854069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BD1C-4FAB-9C49-2F8476A5A79D}"/>
                </c:ext>
              </c:extLst>
            </c:dLbl>
            <c:dLbl>
              <c:idx val="1"/>
              <c:layout>
                <c:manualLayout>
                  <c:x val="-3.3730520508930155E-2"/>
                  <c:y val="3.8409408950463395E-2"/>
                </c:manualLayout>
              </c:layout>
              <c:tx>
                <c:rich>
                  <a:bodyPr/>
                  <a:lstStyle/>
                  <a:p>
                    <a:fld id="{9D4A6735-B98C-470A-BB09-C445E2F520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BD1C-4FAB-9C49-2F8476A5A79D}"/>
                </c:ext>
              </c:extLst>
            </c:dLbl>
            <c:dLbl>
              <c:idx val="2"/>
              <c:tx>
                <c:rich>
                  <a:bodyPr/>
                  <a:lstStyle/>
                  <a:p>
                    <a:fld id="{39780604-3BC0-4C35-A04D-68E3F1BEF5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D1C-4FAB-9C49-2F8476A5A79D}"/>
                </c:ext>
              </c:extLst>
            </c:dLbl>
            <c:dLbl>
              <c:idx val="3"/>
              <c:layout>
                <c:manualLayout>
                  <c:x val="-5.8661774798139409E-2"/>
                  <c:y val="2.4242424242424242E-2"/>
                </c:manualLayout>
              </c:layout>
              <c:tx>
                <c:rich>
                  <a:bodyPr/>
                  <a:lstStyle/>
                  <a:p>
                    <a:fld id="{9BD69C24-A2DA-4279-9FD2-5DA6ED8E4E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BD1C-4FAB-9C49-2F8476A5A79D}"/>
                </c:ext>
              </c:extLst>
            </c:dLbl>
            <c:dLbl>
              <c:idx val="4"/>
              <c:tx>
                <c:rich>
                  <a:bodyPr/>
                  <a:lstStyle/>
                  <a:p>
                    <a:fld id="{A9764D91-7137-4FDC-8AC6-C5420F5A4F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D1C-4FAB-9C49-2F8476A5A79D}"/>
                </c:ext>
              </c:extLst>
            </c:dLbl>
            <c:dLbl>
              <c:idx val="5"/>
              <c:layout>
                <c:manualLayout>
                  <c:x val="-4.252978672865107E-2"/>
                  <c:y val="2.8282828282828208E-2"/>
                </c:manualLayout>
              </c:layout>
              <c:tx>
                <c:rich>
                  <a:bodyPr/>
                  <a:lstStyle/>
                  <a:p>
                    <a:fld id="{C58255FC-AC45-4C37-B11F-2E9F16C0AB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BD1C-4FAB-9C49-2F8476A5A79D}"/>
                </c:ext>
              </c:extLst>
            </c:dLbl>
            <c:dLbl>
              <c:idx val="6"/>
              <c:tx>
                <c:rich>
                  <a:bodyPr/>
                  <a:lstStyle/>
                  <a:p>
                    <a:fld id="{3794FF60-5388-4118-A90C-8223613C80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D1C-4FAB-9C49-2F8476A5A79D}"/>
                </c:ext>
              </c:extLst>
            </c:dLbl>
            <c:dLbl>
              <c:idx val="7"/>
              <c:tx>
                <c:rich>
                  <a:bodyPr/>
                  <a:lstStyle/>
                  <a:p>
                    <a:fld id="{337802F1-5297-499C-9188-60AB0B584F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D1C-4FAB-9C49-2F8476A5A79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2023 Data'!$M$13:$M$20</c:f>
              <c:numCache>
                <c:formatCode>General</c:formatCode>
                <c:ptCount val="8"/>
                <c:pt idx="0">
                  <c:v>155</c:v>
                </c:pt>
                <c:pt idx="1">
                  <c:v>161</c:v>
                </c:pt>
                <c:pt idx="2">
                  <c:v>160</c:v>
                </c:pt>
                <c:pt idx="3">
                  <c:v>172</c:v>
                </c:pt>
                <c:pt idx="4">
                  <c:v>160</c:v>
                </c:pt>
                <c:pt idx="5">
                  <c:v>178</c:v>
                </c:pt>
                <c:pt idx="6">
                  <c:v>143</c:v>
                </c:pt>
                <c:pt idx="7">
                  <c:v>169</c:v>
                </c:pt>
              </c:numCache>
            </c:numRef>
          </c:xVal>
          <c:yVal>
            <c:numRef>
              <c:f>'September 2023 Data'!$L$13:$L$20</c:f>
              <c:numCache>
                <c:formatCode>General</c:formatCode>
                <c:ptCount val="8"/>
                <c:pt idx="0">
                  <c:v>180</c:v>
                </c:pt>
                <c:pt idx="1">
                  <c:v>184</c:v>
                </c:pt>
                <c:pt idx="2">
                  <c:v>186</c:v>
                </c:pt>
                <c:pt idx="3">
                  <c:v>188</c:v>
                </c:pt>
                <c:pt idx="4">
                  <c:v>183</c:v>
                </c:pt>
                <c:pt idx="5">
                  <c:v>189</c:v>
                </c:pt>
                <c:pt idx="6">
                  <c:v>175</c:v>
                </c:pt>
                <c:pt idx="7">
                  <c:v>184</c:v>
                </c:pt>
              </c:numCache>
            </c:numRef>
          </c:yVal>
          <c:smooth val="0"/>
          <c:extLst>
            <c:ext xmlns:c15="http://schemas.microsoft.com/office/drawing/2012/chart" uri="{02D57815-91ED-43cb-92C2-25804820EDAC}">
              <c15:datalabelsRange>
                <c15:f>'September 2023 Data'!$A$13:$A$20</c15:f>
                <c15:dlblRangeCache>
                  <c:ptCount val="8"/>
                  <c:pt idx="0">
                    <c:v>Meisei</c:v>
                  </c:pt>
                  <c:pt idx="1">
                    <c:v>Hokutofuji</c:v>
                  </c:pt>
                  <c:pt idx="2">
                    <c:v>Abi</c:v>
                  </c:pt>
                  <c:pt idx="3">
                    <c:v>Asanoyama</c:v>
                  </c:pt>
                  <c:pt idx="4">
                    <c:v>Shodai</c:v>
                  </c:pt>
                  <c:pt idx="5">
                    <c:v>Tamawashi</c:v>
                  </c:pt>
                  <c:pt idx="6">
                    <c:v>Ura</c:v>
                  </c:pt>
                  <c:pt idx="7">
                    <c:v>Takanosho</c:v>
                  </c:pt>
                </c15:dlblRangeCache>
              </c15:datalabelsRange>
            </c:ext>
            <c:ext xmlns:c16="http://schemas.microsoft.com/office/drawing/2014/chart" uri="{C3380CC4-5D6E-409C-BE32-E72D297353CC}">
              <c16:uniqueId val="{00000014-BD1C-4FAB-9C49-2F8476A5A79D}"/>
            </c:ext>
          </c:extLst>
        </c:ser>
        <c:ser>
          <c:idx val="5"/>
          <c:order val="5"/>
          <c:tx>
            <c:v>M05-08</c:v>
          </c:tx>
          <c:spPr>
            <a:ln w="25400" cap="rnd">
              <a:noFill/>
              <a:round/>
            </a:ln>
            <a:effectLst/>
          </c:spPr>
          <c:marker>
            <c:symbol val="circle"/>
            <c:size val="8"/>
            <c:spPr>
              <a:solidFill>
                <a:schemeClr val="accent2">
                  <a:alpha val="28000"/>
                </a:schemeClr>
              </a:solidFill>
              <a:ln w="9525">
                <a:solidFill>
                  <a:schemeClr val="tx1">
                    <a:lumMod val="50000"/>
                    <a:lumOff val="50000"/>
                  </a:schemeClr>
                </a:solidFill>
              </a:ln>
              <a:effectLst/>
            </c:spPr>
          </c:marker>
          <c:dLbls>
            <c:dLbl>
              <c:idx val="0"/>
              <c:layout>
                <c:manualLayout>
                  <c:x val="-3.5197064878883647E-2"/>
                  <c:y val="2.6329113924050483E-2"/>
                </c:manualLayout>
              </c:layout>
              <c:tx>
                <c:rich>
                  <a:bodyPr/>
                  <a:lstStyle/>
                  <a:p>
                    <a:fld id="{69B170E9-D8FE-46DA-9754-76632C7B4F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BD1C-4FAB-9C49-2F8476A5A79D}"/>
                </c:ext>
              </c:extLst>
            </c:dLbl>
            <c:dLbl>
              <c:idx val="1"/>
              <c:tx>
                <c:rich>
                  <a:bodyPr/>
                  <a:lstStyle/>
                  <a:p>
                    <a:fld id="{BD97A90C-758B-479F-A995-693E7146CB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D1C-4FAB-9C49-2F8476A5A79D}"/>
                </c:ext>
              </c:extLst>
            </c:dLbl>
            <c:dLbl>
              <c:idx val="2"/>
              <c:tx>
                <c:rich>
                  <a:bodyPr/>
                  <a:lstStyle/>
                  <a:p>
                    <a:fld id="{44F6A945-A832-4000-BFF7-414F784E1A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D1C-4FAB-9C49-2F8476A5A79D}"/>
                </c:ext>
              </c:extLst>
            </c:dLbl>
            <c:dLbl>
              <c:idx val="3"/>
              <c:layout>
                <c:manualLayout>
                  <c:x val="-3.8130153618790665E-2"/>
                  <c:y val="-2.2222222222222296E-2"/>
                </c:manualLayout>
              </c:layout>
              <c:tx>
                <c:rich>
                  <a:bodyPr/>
                  <a:lstStyle/>
                  <a:p>
                    <a:fld id="{FABB1712-E1CF-45FF-848F-47B1D52B34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BD1C-4FAB-9C49-2F8476A5A79D}"/>
                </c:ext>
              </c:extLst>
            </c:dLbl>
            <c:dLbl>
              <c:idx val="4"/>
              <c:tx>
                <c:rich>
                  <a:bodyPr/>
                  <a:lstStyle/>
                  <a:p>
                    <a:fld id="{15764A71-1B67-46B6-A2A1-91B4FADD47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D1C-4FAB-9C49-2F8476A5A79D}"/>
                </c:ext>
              </c:extLst>
            </c:dLbl>
            <c:dLbl>
              <c:idx val="5"/>
              <c:tx>
                <c:rich>
                  <a:bodyPr/>
                  <a:lstStyle/>
                  <a:p>
                    <a:fld id="{76FDBEB9-9365-49D2-B4EA-B512CD2ABF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D1C-4FAB-9C49-2F8476A5A79D}"/>
                </c:ext>
              </c:extLst>
            </c:dLbl>
            <c:dLbl>
              <c:idx val="6"/>
              <c:tx>
                <c:rich>
                  <a:bodyPr/>
                  <a:lstStyle/>
                  <a:p>
                    <a:fld id="{7F5BD7E1-46C7-47F6-95E2-B55DEA444F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D1C-4FAB-9C49-2F8476A5A79D}"/>
                </c:ext>
              </c:extLst>
            </c:dLbl>
            <c:dLbl>
              <c:idx val="7"/>
              <c:tx>
                <c:rich>
                  <a:bodyPr/>
                  <a:lstStyle/>
                  <a:p>
                    <a:fld id="{A932EB64-EAC6-44A2-94BF-898CA07521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D1C-4FAB-9C49-2F8476A5A79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2023 Data'!$M$21:$M$28</c:f>
              <c:numCache>
                <c:formatCode>General</c:formatCode>
                <c:ptCount val="8"/>
                <c:pt idx="0">
                  <c:v>156</c:v>
                </c:pt>
                <c:pt idx="1">
                  <c:v>185</c:v>
                </c:pt>
                <c:pt idx="2">
                  <c:v>170</c:v>
                </c:pt>
                <c:pt idx="3">
                  <c:v>155</c:v>
                </c:pt>
                <c:pt idx="4">
                  <c:v>174</c:v>
                </c:pt>
                <c:pt idx="5">
                  <c:v>186</c:v>
                </c:pt>
                <c:pt idx="6">
                  <c:v>136</c:v>
                </c:pt>
                <c:pt idx="7">
                  <c:v>127</c:v>
                </c:pt>
              </c:numCache>
            </c:numRef>
          </c:xVal>
          <c:yVal>
            <c:numRef>
              <c:f>'September 2023 Data'!$L$21:$L$28</c:f>
              <c:numCache>
                <c:formatCode>General</c:formatCode>
                <c:ptCount val="8"/>
                <c:pt idx="0">
                  <c:v>178</c:v>
                </c:pt>
                <c:pt idx="1">
                  <c:v>193</c:v>
                </c:pt>
                <c:pt idx="2">
                  <c:v>177</c:v>
                </c:pt>
                <c:pt idx="3">
                  <c:v>189</c:v>
                </c:pt>
                <c:pt idx="4">
                  <c:v>191</c:v>
                </c:pt>
                <c:pt idx="5">
                  <c:v>188</c:v>
                </c:pt>
                <c:pt idx="6">
                  <c:v>178</c:v>
                </c:pt>
                <c:pt idx="7">
                  <c:v>176</c:v>
                </c:pt>
              </c:numCache>
            </c:numRef>
          </c:yVal>
          <c:smooth val="0"/>
          <c:extLst>
            <c:ext xmlns:c15="http://schemas.microsoft.com/office/drawing/2012/chart" uri="{02D57815-91ED-43cb-92C2-25804820EDAC}">
              <c15:datalabelsRange>
                <c15:f>'September 2023 Data'!$A$21:$A$28</c15:f>
                <c15:dlblRangeCache>
                  <c:ptCount val="8"/>
                  <c:pt idx="0">
                    <c:v>Gonoyama</c:v>
                  </c:pt>
                  <c:pt idx="1">
                    <c:v>Shonannoumi</c:v>
                  </c:pt>
                  <c:pt idx="2">
                    <c:v>Onosho</c:v>
                  </c:pt>
                  <c:pt idx="3">
                    <c:v>Ryuden</c:v>
                  </c:pt>
                  <c:pt idx="4">
                    <c:v>Oho</c:v>
                  </c:pt>
                  <c:pt idx="5">
                    <c:v>Takayasu</c:v>
                  </c:pt>
                  <c:pt idx="6">
                    <c:v>Hiradoumi</c:v>
                  </c:pt>
                  <c:pt idx="7">
                    <c:v>Kotoeko</c:v>
                  </c:pt>
                </c15:dlblRangeCache>
              </c15:datalabelsRange>
            </c:ext>
            <c:ext xmlns:c16="http://schemas.microsoft.com/office/drawing/2014/chart" uri="{C3380CC4-5D6E-409C-BE32-E72D297353CC}">
              <c16:uniqueId val="{0000001D-BD1C-4FAB-9C49-2F8476A5A79D}"/>
            </c:ext>
          </c:extLst>
        </c:ser>
        <c:ser>
          <c:idx val="6"/>
          <c:order val="6"/>
          <c:tx>
            <c:v>M09-12</c:v>
          </c:tx>
          <c:spPr>
            <a:ln w="25400" cap="rnd">
              <a:noFill/>
              <a:round/>
            </a:ln>
            <a:effectLst/>
          </c:spPr>
          <c:marker>
            <c:symbol val="circle"/>
            <c:size val="5"/>
            <c:spPr>
              <a:solidFill>
                <a:schemeClr val="accent2">
                  <a:alpha val="52000"/>
                </a:schemeClr>
              </a:solidFill>
              <a:ln w="9525">
                <a:solidFill>
                  <a:schemeClr val="accent1">
                    <a:lumMod val="60000"/>
                  </a:schemeClr>
                </a:solidFill>
              </a:ln>
              <a:effectLst/>
            </c:spPr>
          </c:marker>
          <c:dLbls>
            <c:dLbl>
              <c:idx val="0"/>
              <c:tx>
                <c:rich>
                  <a:bodyPr/>
                  <a:lstStyle/>
                  <a:p>
                    <a:fld id="{B56F1267-315E-455B-BF69-A5F452693A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D1C-4FAB-9C49-2F8476A5A79D}"/>
                </c:ext>
              </c:extLst>
            </c:dLbl>
            <c:dLbl>
              <c:idx val="1"/>
              <c:layout>
                <c:manualLayout>
                  <c:x val="-1.1732354959627881E-2"/>
                  <c:y val="2.2222222222222223E-2"/>
                </c:manualLayout>
              </c:layout>
              <c:tx>
                <c:rich>
                  <a:bodyPr/>
                  <a:lstStyle/>
                  <a:p>
                    <a:fld id="{C43AE4EE-01D5-4133-8FFA-007A096426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BD1C-4FAB-9C49-2F8476A5A79D}"/>
                </c:ext>
              </c:extLst>
            </c:dLbl>
            <c:dLbl>
              <c:idx val="2"/>
              <c:layout>
                <c:manualLayout>
                  <c:x val="-2.1998165549302385E-2"/>
                  <c:y val="-2.6329113924050709E-2"/>
                </c:manualLayout>
              </c:layout>
              <c:tx>
                <c:rich>
                  <a:bodyPr/>
                  <a:lstStyle/>
                  <a:p>
                    <a:fld id="{EC91A143-3845-4F51-9838-13A8F7D6CF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BD1C-4FAB-9C49-2F8476A5A79D}"/>
                </c:ext>
              </c:extLst>
            </c:dLbl>
            <c:dLbl>
              <c:idx val="3"/>
              <c:tx>
                <c:rich>
                  <a:bodyPr/>
                  <a:lstStyle/>
                  <a:p>
                    <a:fld id="{CF583782-A6F2-4509-BE63-4DD9F91517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D1C-4FAB-9C49-2F8476A5A79D}"/>
                </c:ext>
              </c:extLst>
            </c:dLbl>
            <c:dLbl>
              <c:idx val="4"/>
              <c:tx>
                <c:rich>
                  <a:bodyPr/>
                  <a:lstStyle/>
                  <a:p>
                    <a:fld id="{1D304E39-D320-40B1-8E22-7E76C2CC5B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D1C-4FAB-9C49-2F8476A5A79D}"/>
                </c:ext>
              </c:extLst>
            </c:dLbl>
            <c:dLbl>
              <c:idx val="5"/>
              <c:tx>
                <c:rich>
                  <a:bodyPr/>
                  <a:lstStyle/>
                  <a:p>
                    <a:fld id="{1E81A3A6-7292-4409-9A88-6EC60BB859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D1C-4FAB-9C49-2F8476A5A79D}"/>
                </c:ext>
              </c:extLst>
            </c:dLbl>
            <c:dLbl>
              <c:idx val="6"/>
              <c:layout>
                <c:manualLayout>
                  <c:x val="-1.7598532439441823E-2"/>
                  <c:y val="2.0202020202020127E-2"/>
                </c:manualLayout>
              </c:layout>
              <c:tx>
                <c:rich>
                  <a:bodyPr/>
                  <a:lstStyle/>
                  <a:p>
                    <a:fld id="{6EB19C04-0C05-401C-8D4E-2FC22E36A2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BD1C-4FAB-9C49-2F8476A5A79D}"/>
                </c:ext>
              </c:extLst>
            </c:dLbl>
            <c:dLbl>
              <c:idx val="7"/>
              <c:tx>
                <c:rich>
                  <a:bodyPr/>
                  <a:lstStyle/>
                  <a:p>
                    <a:fld id="{F26E7E1B-C766-4B9B-8B0C-7D29213A16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D1C-4FAB-9C49-2F8476A5A79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2023 Data'!$M$29:$M$36</c:f>
              <c:numCache>
                <c:formatCode>General</c:formatCode>
                <c:ptCount val="8"/>
                <c:pt idx="0">
                  <c:v>115</c:v>
                </c:pt>
                <c:pt idx="1">
                  <c:v>158</c:v>
                </c:pt>
                <c:pt idx="2">
                  <c:v>180</c:v>
                </c:pt>
                <c:pt idx="3">
                  <c:v>148</c:v>
                </c:pt>
                <c:pt idx="4">
                  <c:v>164</c:v>
                </c:pt>
                <c:pt idx="5">
                  <c:v>181</c:v>
                </c:pt>
                <c:pt idx="6">
                  <c:v>144</c:v>
                </c:pt>
                <c:pt idx="7">
                  <c:v>169</c:v>
                </c:pt>
              </c:numCache>
            </c:numRef>
          </c:xVal>
          <c:yVal>
            <c:numRef>
              <c:f>'September 2023 Data'!$L$29:$L$36</c:f>
              <c:numCache>
                <c:formatCode>General</c:formatCode>
                <c:ptCount val="8"/>
                <c:pt idx="0">
                  <c:v>174</c:v>
                </c:pt>
                <c:pt idx="1">
                  <c:v>181</c:v>
                </c:pt>
                <c:pt idx="2">
                  <c:v>193</c:v>
                </c:pt>
                <c:pt idx="3">
                  <c:v>184</c:v>
                </c:pt>
                <c:pt idx="4">
                  <c:v>179</c:v>
                </c:pt>
                <c:pt idx="5">
                  <c:v>204</c:v>
                </c:pt>
                <c:pt idx="6">
                  <c:v>182</c:v>
                </c:pt>
                <c:pt idx="7">
                  <c:v>186</c:v>
                </c:pt>
              </c:numCache>
            </c:numRef>
          </c:yVal>
          <c:smooth val="0"/>
          <c:extLst>
            <c:ext xmlns:c15="http://schemas.microsoft.com/office/drawing/2012/chart" uri="{02D57815-91ED-43cb-92C2-25804820EDAC}">
              <c15:datalabelsRange>
                <c15:f>'September 2023 Data'!$A$29:$A$36</c15:f>
                <c15:dlblRangeCache>
                  <c:ptCount val="8"/>
                  <c:pt idx="0">
                    <c:v>Midorifuji</c:v>
                  </c:pt>
                  <c:pt idx="1">
                    <c:v>Hakuoho</c:v>
                  </c:pt>
                  <c:pt idx="2">
                    <c:v>Kinbozan</c:v>
                  </c:pt>
                  <c:pt idx="3">
                    <c:v>Endo</c:v>
                  </c:pt>
                  <c:pt idx="4">
                    <c:v>Mitakeumi</c:v>
                  </c:pt>
                  <c:pt idx="5">
                    <c:v>Hokuseiho</c:v>
                  </c:pt>
                  <c:pt idx="6">
                    <c:v>Sadanoumi</c:v>
                  </c:pt>
                  <c:pt idx="7">
                    <c:v>Takarafuji</c:v>
                  </c:pt>
                </c15:dlblRangeCache>
              </c15:datalabelsRange>
            </c:ext>
            <c:ext xmlns:c16="http://schemas.microsoft.com/office/drawing/2014/chart" uri="{C3380CC4-5D6E-409C-BE32-E72D297353CC}">
              <c16:uniqueId val="{00000026-BD1C-4FAB-9C49-2F8476A5A79D}"/>
            </c:ext>
          </c:extLst>
        </c:ser>
        <c:ser>
          <c:idx val="7"/>
          <c:order val="7"/>
          <c:tx>
            <c:v>M13-17</c:v>
          </c:tx>
          <c:spPr>
            <a:ln w="25400" cap="rnd">
              <a:noFill/>
              <a:round/>
            </a:ln>
            <a:effectLst/>
          </c:spPr>
          <c:marker>
            <c:symbol val="circle"/>
            <c:size val="4"/>
            <c:spPr>
              <a:solidFill>
                <a:schemeClr val="tx2">
                  <a:lumMod val="40000"/>
                  <a:lumOff val="60000"/>
                  <a:alpha val="48000"/>
                </a:schemeClr>
              </a:solidFill>
              <a:ln w="9525">
                <a:solidFill>
                  <a:schemeClr val="bg2">
                    <a:lumMod val="75000"/>
                  </a:schemeClr>
                </a:solidFill>
              </a:ln>
              <a:effectLst/>
            </c:spPr>
          </c:marker>
          <c:dLbls>
            <c:dLbl>
              <c:idx val="0"/>
              <c:layout>
                <c:manualLayout>
                  <c:x val="-2.4931254289209302E-2"/>
                  <c:y val="2.0202020202020204E-2"/>
                </c:manualLayout>
              </c:layout>
              <c:tx>
                <c:rich>
                  <a:bodyPr/>
                  <a:lstStyle/>
                  <a:p>
                    <a:fld id="{CC328E80-53A7-454F-BA9E-7769E29BF7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BD1C-4FAB-9C49-2F8476A5A79D}"/>
                </c:ext>
              </c:extLst>
            </c:dLbl>
            <c:dLbl>
              <c:idx val="1"/>
              <c:layout>
                <c:manualLayout>
                  <c:x val="-3.5197064878883647E-2"/>
                  <c:y val="1.2162105053323956E-2"/>
                </c:manualLayout>
              </c:layout>
              <c:tx>
                <c:rich>
                  <a:bodyPr/>
                  <a:lstStyle/>
                  <a:p>
                    <a:fld id="{2734A2E5-B557-41AF-93E3-F889EC9AAF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BD1C-4FAB-9C49-2F8476A5A79D}"/>
                </c:ext>
              </c:extLst>
            </c:dLbl>
            <c:dLbl>
              <c:idx val="2"/>
              <c:layout>
                <c:manualLayout>
                  <c:x val="-1.6131988069488335E-2"/>
                  <c:y val="-2.430379746835443E-2"/>
                </c:manualLayout>
              </c:layout>
              <c:tx>
                <c:rich>
                  <a:bodyPr/>
                  <a:lstStyle/>
                  <a:p>
                    <a:fld id="{A0250A08-9C3B-46A6-BF17-6240FF8966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BD1C-4FAB-9C49-2F8476A5A79D}"/>
                </c:ext>
              </c:extLst>
            </c:dLbl>
            <c:dLbl>
              <c:idx val="3"/>
              <c:tx>
                <c:rich>
                  <a:bodyPr/>
                  <a:lstStyle/>
                  <a:p>
                    <a:fld id="{42657D5B-9F66-405F-9D95-A48B8D5CF9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BD1C-4FAB-9C49-2F8476A5A79D}"/>
                </c:ext>
              </c:extLst>
            </c:dLbl>
            <c:dLbl>
              <c:idx val="4"/>
              <c:layout>
                <c:manualLayout>
                  <c:x val="-6.3061407907999856E-2"/>
                  <c:y val="2.2206877304893777E-2"/>
                </c:manualLayout>
              </c:layout>
              <c:tx>
                <c:rich>
                  <a:bodyPr/>
                  <a:lstStyle/>
                  <a:p>
                    <a:fld id="{BB01CB15-37E6-49A1-BBF1-970651FFE6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BD1C-4FAB-9C49-2F8476A5A79D}"/>
                </c:ext>
              </c:extLst>
            </c:dLbl>
            <c:dLbl>
              <c:idx val="5"/>
              <c:layout>
                <c:manualLayout>
                  <c:x val="-4.2529786728651174E-2"/>
                  <c:y val="2.9326103857270931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C51F03D6-8716-47C2-ABD8-DB7C07705842}"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5.7906446709646037E-2"/>
                      <c:h val="3.0349446825475929E-2"/>
                    </c:manualLayout>
                  </c15:layout>
                  <c15:dlblFieldTable/>
                  <c15:showDataLabelsRange val="1"/>
                </c:ext>
                <c:ext xmlns:c16="http://schemas.microsoft.com/office/drawing/2014/chart" uri="{C3380CC4-5D6E-409C-BE32-E72D297353CC}">
                  <c16:uniqueId val="{0000002C-BD1C-4FAB-9C49-2F8476A5A79D}"/>
                </c:ext>
              </c:extLst>
            </c:dLbl>
            <c:dLbl>
              <c:idx val="6"/>
              <c:layout>
                <c:manualLayout>
                  <c:x val="-4.3996331098605634E-3"/>
                  <c:y val="3.9739260440546193E-3"/>
                </c:manualLayout>
              </c:layout>
              <c:tx>
                <c:rich>
                  <a:bodyPr/>
                  <a:lstStyle/>
                  <a:p>
                    <a:fld id="{EE301085-7CE9-45AA-B053-DDAE270BA2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BD1C-4FAB-9C49-2F8476A5A79D}"/>
                </c:ext>
              </c:extLst>
            </c:dLbl>
            <c:dLbl>
              <c:idx val="7"/>
              <c:layout>
                <c:manualLayout>
                  <c:x val="-2.6397798659162731E-2"/>
                  <c:y val="-2.2278481012658301E-2"/>
                </c:manualLayout>
              </c:layout>
              <c:tx>
                <c:rich>
                  <a:bodyPr/>
                  <a:lstStyle/>
                  <a:p>
                    <a:fld id="{5CC048BD-B3A8-4293-ADA3-2ED0814242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BD1C-4FAB-9C49-2F8476A5A79D}"/>
                </c:ext>
              </c:extLst>
            </c:dLbl>
            <c:dLbl>
              <c:idx val="8"/>
              <c:tx>
                <c:rich>
                  <a:bodyPr/>
                  <a:lstStyle/>
                  <a:p>
                    <a:fld id="{FF71F1A7-1E4E-4493-AE65-D4E09E2995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BD1C-4FAB-9C49-2F8476A5A79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2023 Data'!$M$37:$M$45</c:f>
              <c:numCache>
                <c:formatCode>General</c:formatCode>
                <c:ptCount val="9"/>
                <c:pt idx="0">
                  <c:v>154</c:v>
                </c:pt>
                <c:pt idx="1">
                  <c:v>155</c:v>
                </c:pt>
                <c:pt idx="2">
                  <c:v>164</c:v>
                </c:pt>
                <c:pt idx="3">
                  <c:v>186</c:v>
                </c:pt>
                <c:pt idx="4">
                  <c:v>140</c:v>
                </c:pt>
                <c:pt idx="5">
                  <c:v>181</c:v>
                </c:pt>
                <c:pt idx="6">
                  <c:v>187</c:v>
                </c:pt>
                <c:pt idx="7">
                  <c:v>160</c:v>
                </c:pt>
                <c:pt idx="8">
                  <c:v>198</c:v>
                </c:pt>
              </c:numCache>
            </c:numRef>
          </c:xVal>
          <c:yVal>
            <c:numRef>
              <c:f>'September 2023 Data'!$L$37:$L$45</c:f>
              <c:numCache>
                <c:formatCode>General</c:formatCode>
                <c:ptCount val="9"/>
                <c:pt idx="0">
                  <c:v>184</c:v>
                </c:pt>
                <c:pt idx="1">
                  <c:v>188</c:v>
                </c:pt>
                <c:pt idx="2">
                  <c:v>190</c:v>
                </c:pt>
                <c:pt idx="3">
                  <c:v>191</c:v>
                </c:pt>
                <c:pt idx="4">
                  <c:v>183</c:v>
                </c:pt>
                <c:pt idx="5">
                  <c:v>186</c:v>
                </c:pt>
                <c:pt idx="6">
                  <c:v>185</c:v>
                </c:pt>
                <c:pt idx="7">
                  <c:v>192</c:v>
                </c:pt>
                <c:pt idx="8">
                  <c:v>185</c:v>
                </c:pt>
              </c:numCache>
            </c:numRef>
          </c:yVal>
          <c:smooth val="0"/>
          <c:extLst>
            <c:ext xmlns:c15="http://schemas.microsoft.com/office/drawing/2012/chart" uri="{02D57815-91ED-43cb-92C2-25804820EDAC}">
              <c15:datalabelsRange>
                <c15:f>'September 2023 Data'!$A$37:$A$45</c15:f>
                <c15:dlblRangeCache>
                  <c:ptCount val="9"/>
                  <c:pt idx="0">
                    <c:v>Nishikifuji</c:v>
                  </c:pt>
                  <c:pt idx="1">
                    <c:v>Myogiryu</c:v>
                  </c:pt>
                  <c:pt idx="2">
                    <c:v>Kotoshoho</c:v>
                  </c:pt>
                  <c:pt idx="3">
                    <c:v>Aoiyama</c:v>
                  </c:pt>
                  <c:pt idx="4">
                    <c:v>Chiyoshoma</c:v>
                  </c:pt>
                  <c:pt idx="5">
                    <c:v>Atamifuji</c:v>
                  </c:pt>
                  <c:pt idx="6">
                    <c:v>Tsurugisho</c:v>
                  </c:pt>
                  <c:pt idx="7">
                    <c:v>Kagayaki</c:v>
                  </c:pt>
                  <c:pt idx="8">
                    <c:v>Daishoho</c:v>
                  </c:pt>
                </c15:dlblRangeCache>
              </c15:datalabelsRange>
            </c:ext>
            <c:ext xmlns:c16="http://schemas.microsoft.com/office/drawing/2014/chart" uri="{C3380CC4-5D6E-409C-BE32-E72D297353CC}">
              <c16:uniqueId val="{00000031-BD1C-4FAB-9C49-2F8476A5A79D}"/>
            </c:ext>
          </c:extLst>
        </c:ser>
        <c:dLbls>
          <c:showLegendKey val="0"/>
          <c:showVal val="0"/>
          <c:showCatName val="0"/>
          <c:showSerName val="0"/>
          <c:showPercent val="0"/>
          <c:showBubbleSize val="0"/>
        </c:dLbls>
        <c:axId val="745971600"/>
        <c:axId val="745971928"/>
      </c:scatterChart>
      <c:valAx>
        <c:axId val="745971600"/>
        <c:scaling>
          <c:orientation val="minMax"/>
          <c:max val="205"/>
          <c:min val="11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800"/>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in val="16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800"/>
                  <a:t>Height in Centimeters</a:t>
                </a:r>
              </a:p>
            </c:rich>
          </c:tx>
          <c:layout>
            <c:manualLayout>
              <c:xMode val="edge"/>
              <c:yMode val="edge"/>
              <c:x val="3.0448001590796477E-2"/>
              <c:y val="8.288041463171536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91023697624879429"/>
          <c:y val="1.1761507026811524E-2"/>
          <c:w val="7.6658699212096157E-2"/>
          <c:h val="0.272729181579575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September 2023 Makuuchi Wrestlers UPDATE </a:t>
            </a:r>
          </a:p>
        </c:rich>
      </c:tx>
      <c:layout>
        <c:manualLayout>
          <c:xMode val="edge"/>
          <c:yMode val="edge"/>
          <c:x val="0.32398898221012395"/>
          <c:y val="2.021217980663809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7817913620074707"/>
          <c:y val="7.2903259244493174E-2"/>
          <c:w val="0.78402478205938153"/>
          <c:h val="0.85594431898299383"/>
        </c:manualLayout>
      </c:layout>
      <c:scatterChart>
        <c:scatterStyle val="lineMarker"/>
        <c:varyColors val="0"/>
        <c:ser>
          <c:idx val="0"/>
          <c:order val="0"/>
          <c:tx>
            <c:v>Yokozuna</c:v>
          </c:tx>
          <c:spPr>
            <a:ln w="25400" cap="rnd">
              <a:noFill/>
              <a:round/>
            </a:ln>
            <a:effectLst/>
          </c:spPr>
          <c:marker>
            <c:symbol val="circle"/>
            <c:size val="20"/>
            <c:spPr>
              <a:solidFill>
                <a:schemeClr val="accent1"/>
              </a:solidFill>
              <a:ln w="31750" cmpd="tri">
                <a:solidFill>
                  <a:schemeClr val="accent6">
                    <a:lumMod val="60000"/>
                    <a:alpha val="85000"/>
                  </a:schemeClr>
                </a:solidFill>
              </a:ln>
              <a:effectLst/>
            </c:spPr>
          </c:marker>
          <c:dPt>
            <c:idx val="0"/>
            <c:marker>
              <c:symbol val="circle"/>
              <c:size val="25"/>
              <c:spPr>
                <a:solidFill>
                  <a:schemeClr val="accent1"/>
                </a:solidFill>
                <a:ln w="31750" cmpd="tri">
                  <a:solidFill>
                    <a:schemeClr val="accent6">
                      <a:lumMod val="60000"/>
                      <a:alpha val="85000"/>
                    </a:schemeClr>
                  </a:solidFill>
                </a:ln>
                <a:effectLst/>
              </c:spPr>
            </c:marker>
            <c:bubble3D val="0"/>
            <c:extLst>
              <c:ext xmlns:c16="http://schemas.microsoft.com/office/drawing/2014/chart" uri="{C3380CC4-5D6E-409C-BE32-E72D297353CC}">
                <c16:uniqueId val="{00000000-2899-4051-96A1-BC45BA336BE5}"/>
              </c:ext>
            </c:extLst>
          </c:dPt>
          <c:dLbls>
            <c:dLbl>
              <c:idx val="0"/>
              <c:layout>
                <c:manualLayout>
                  <c:x val="-6.0128319168092997E-2"/>
                  <c:y val="-4.4444373567228149E-2"/>
                </c:manualLayout>
              </c:layout>
              <c:tx>
                <c:rich>
                  <a:bodyPr/>
                  <a:lstStyle/>
                  <a:p>
                    <a:fld id="{61F6E33D-870E-4999-ACC4-E7C38FF8C9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2899-4051-96A1-BC45BA336B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'July 2023 Data'!$L$4</c:f>
              <c:numCache>
                <c:formatCode>General</c:formatCode>
                <c:ptCount val="1"/>
                <c:pt idx="0">
                  <c:v>174</c:v>
                </c:pt>
              </c:numCache>
            </c:numRef>
          </c:xVal>
          <c:yVal>
            <c:numRef>
              <c:f>'July 2023 Data'!$K$4</c:f>
              <c:numCache>
                <c:formatCode>General</c:formatCode>
                <c:ptCount val="1"/>
                <c:pt idx="0">
                  <c:v>192</c:v>
                </c:pt>
              </c:numCache>
            </c:numRef>
          </c:yVal>
          <c:smooth val="0"/>
          <c:extLst>
            <c:ext xmlns:c15="http://schemas.microsoft.com/office/drawing/2012/chart" uri="{02D57815-91ED-43cb-92C2-25804820EDAC}">
              <c15:datalabelsRange>
                <c15:f>'May 2023 Data'!$A$4</c15:f>
                <c15:dlblRangeCache>
                  <c:ptCount val="1"/>
                  <c:pt idx="0">
                    <c:v>Terunofuji</c:v>
                  </c:pt>
                </c15:dlblRangeCache>
              </c15:datalabelsRange>
            </c:ext>
            <c:ext xmlns:c16="http://schemas.microsoft.com/office/drawing/2014/chart" uri="{C3380CC4-5D6E-409C-BE32-E72D297353CC}">
              <c16:uniqueId val="{00000001-2899-4051-96A1-BC45BA336BE5}"/>
            </c:ext>
          </c:extLst>
        </c:ser>
        <c:ser>
          <c:idx val="1"/>
          <c:order val="1"/>
          <c:tx>
            <c:v>Ozeki</c:v>
          </c:tx>
          <c:spPr>
            <a:ln w="25400" cap="rnd">
              <a:noFill/>
              <a:round/>
            </a:ln>
            <a:effectLst/>
          </c:spPr>
          <c:marker>
            <c:symbol val="circle"/>
            <c:size val="20"/>
            <c:spPr>
              <a:solidFill>
                <a:schemeClr val="accent2"/>
              </a:solidFill>
              <a:ln w="25400" cmpd="thickThin">
                <a:solidFill>
                  <a:schemeClr val="accent6">
                    <a:lumMod val="60000"/>
                  </a:schemeClr>
                </a:solidFill>
              </a:ln>
              <a:effectLst/>
            </c:spPr>
          </c:marker>
          <c:dLbls>
            <c:dLbl>
              <c:idx val="0"/>
              <c:tx>
                <c:rich>
                  <a:bodyPr/>
                  <a:lstStyle/>
                  <a:p>
                    <a:fld id="{19350AAD-0B6A-4E53-B391-7F15277BBC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899-4051-96A1-BC45BA336BE5}"/>
                </c:ext>
              </c:extLst>
            </c:dLbl>
            <c:dLbl>
              <c:idx val="1"/>
              <c:layout>
                <c:manualLayout>
                  <c:x val="-7.9193395977488257E-2"/>
                  <c:y val="3.0297936808531843E-2"/>
                </c:manualLayout>
              </c:layout>
              <c:tx>
                <c:rich>
                  <a:bodyPr/>
                  <a:lstStyle/>
                  <a:p>
                    <a:fld id="{8803F1A6-BA72-4FB8-9919-EA28487AD7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899-4051-96A1-BC45BA336BE5}"/>
                </c:ext>
              </c:extLst>
            </c:dLbl>
            <c:dLbl>
              <c:idx val="2"/>
              <c:layout>
                <c:manualLayout>
                  <c:x val="-9.3858839677023048E-2"/>
                  <c:y val="-3.948410246187581E-3"/>
                </c:manualLayout>
              </c:layout>
              <c:tx>
                <c:rich>
                  <a:bodyPr/>
                  <a:lstStyle/>
                  <a:p>
                    <a:fld id="{D0EC3C4A-A387-4699-B48E-5634AD52A2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2899-4051-96A1-BC45BA336B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2023 Data'!$M$5:$M$7</c:f>
              <c:numCache>
                <c:formatCode>General</c:formatCode>
                <c:ptCount val="3"/>
                <c:pt idx="0">
                  <c:v>165</c:v>
                </c:pt>
                <c:pt idx="1">
                  <c:v>145</c:v>
                </c:pt>
                <c:pt idx="2">
                  <c:v>140</c:v>
                </c:pt>
              </c:numCache>
            </c:numRef>
          </c:xVal>
          <c:yVal>
            <c:numRef>
              <c:f>'September 2023 Data'!$L$5:$L$7</c:f>
              <c:numCache>
                <c:formatCode>General</c:formatCode>
                <c:ptCount val="3"/>
                <c:pt idx="0">
                  <c:v>175</c:v>
                </c:pt>
                <c:pt idx="1">
                  <c:v>186</c:v>
                </c:pt>
                <c:pt idx="2">
                  <c:v>187</c:v>
                </c:pt>
              </c:numCache>
            </c:numRef>
          </c:yVal>
          <c:smooth val="0"/>
          <c:extLst>
            <c:ext xmlns:c15="http://schemas.microsoft.com/office/drawing/2012/chart" uri="{02D57815-91ED-43cb-92C2-25804820EDAC}">
              <c15:datalabelsRange>
                <c15:f>'September 2023 Data'!$A$5:$A$7</c15:f>
                <c15:dlblRangeCache>
                  <c:ptCount val="3"/>
                  <c:pt idx="0">
                    <c:v>Takakeisho</c:v>
                  </c:pt>
                  <c:pt idx="1">
                    <c:v>Kirishima</c:v>
                  </c:pt>
                  <c:pt idx="2">
                    <c:v>Hoshoryu</c:v>
                  </c:pt>
                </c15:dlblRangeCache>
              </c15:datalabelsRange>
            </c:ext>
            <c:ext xmlns:c16="http://schemas.microsoft.com/office/drawing/2014/chart" uri="{C3380CC4-5D6E-409C-BE32-E72D297353CC}">
              <c16:uniqueId val="{00000005-2899-4051-96A1-BC45BA336BE5}"/>
            </c:ext>
          </c:extLst>
        </c:ser>
        <c:ser>
          <c:idx val="2"/>
          <c:order val="2"/>
          <c:tx>
            <c:v>Sekiwake</c:v>
          </c:tx>
          <c:spPr>
            <a:ln w="25400" cap="rnd">
              <a:noFill/>
              <a:round/>
            </a:ln>
            <a:effectLst/>
          </c:spPr>
          <c:marker>
            <c:symbol val="circle"/>
            <c:size val="15"/>
            <c:spPr>
              <a:solidFill>
                <a:schemeClr val="accent3"/>
              </a:solidFill>
              <a:ln w="25400" cmpd="dbl">
                <a:solidFill>
                  <a:schemeClr val="accent6">
                    <a:lumMod val="60000"/>
                  </a:schemeClr>
                </a:solidFill>
              </a:ln>
              <a:effectLst/>
            </c:spPr>
          </c:marker>
          <c:dLbls>
            <c:dLbl>
              <c:idx val="0"/>
              <c:layout>
                <c:manualLayout>
                  <c:x val="-4.399633109860461E-2"/>
                  <c:y val="-3.6455696202531647E-2"/>
                </c:manualLayout>
              </c:layout>
              <c:tx>
                <c:rich>
                  <a:bodyPr/>
                  <a:lstStyle/>
                  <a:p>
                    <a:fld id="{397D89E4-279C-467A-A230-2D892CF23F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2899-4051-96A1-BC45BA336BE5}"/>
                </c:ext>
              </c:extLst>
            </c:dLbl>
            <c:dLbl>
              <c:idx val="1"/>
              <c:tx>
                <c:rich>
                  <a:bodyPr/>
                  <a:lstStyle/>
                  <a:p>
                    <a:fld id="{9672D705-3318-4B50-AEF6-3A34162C39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899-4051-96A1-BC45BA336BE5}"/>
                </c:ext>
              </c:extLst>
            </c:dLbl>
            <c:dLbl>
              <c:idx val="2"/>
              <c:layout>
                <c:manualLayout>
                  <c:x val="-3.226397613897667E-2"/>
                  <c:y val="-1.216210505332403E-2"/>
                </c:manualLayout>
              </c:layout>
              <c:tx>
                <c:rich>
                  <a:bodyPr/>
                  <a:lstStyle/>
                  <a:p>
                    <a:fld id="{D5FE4EEC-3F8C-4BA6-8001-ACEE0CD4F3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2899-4051-96A1-BC45BA336B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2023 Data'!$M$8:$M$10</c:f>
              <c:numCache>
                <c:formatCode>General</c:formatCode>
                <c:ptCount val="3"/>
                <c:pt idx="0">
                  <c:v>145</c:v>
                </c:pt>
                <c:pt idx="1">
                  <c:v>167</c:v>
                </c:pt>
                <c:pt idx="2">
                  <c:v>170</c:v>
                </c:pt>
              </c:numCache>
            </c:numRef>
          </c:xVal>
          <c:yVal>
            <c:numRef>
              <c:f>'September 2023 Data'!$L$8:$L$10</c:f>
              <c:numCache>
                <c:formatCode>General</c:formatCode>
                <c:ptCount val="3"/>
                <c:pt idx="0">
                  <c:v>187</c:v>
                </c:pt>
                <c:pt idx="1">
                  <c:v>182</c:v>
                </c:pt>
                <c:pt idx="2">
                  <c:v>189</c:v>
                </c:pt>
              </c:numCache>
            </c:numRef>
          </c:yVal>
          <c:smooth val="0"/>
          <c:extLst>
            <c:ext xmlns:c15="http://schemas.microsoft.com/office/drawing/2012/chart" uri="{02D57815-91ED-43cb-92C2-25804820EDAC}">
              <c15:datalabelsRange>
                <c15:f>'September 2023 Data'!$A$8:$A$10</c15:f>
                <c15:dlblRangeCache>
                  <c:ptCount val="3"/>
                  <c:pt idx="0">
                    <c:v>Wakamotoharu</c:v>
                  </c:pt>
                  <c:pt idx="1">
                    <c:v>Daieisho</c:v>
                  </c:pt>
                  <c:pt idx="2">
                    <c:v>Kotonowaka</c:v>
                  </c:pt>
                </c15:dlblRangeCache>
              </c15:datalabelsRange>
            </c:ext>
            <c:ext xmlns:c16="http://schemas.microsoft.com/office/drawing/2014/chart" uri="{C3380CC4-5D6E-409C-BE32-E72D297353CC}">
              <c16:uniqueId val="{00000009-2899-4051-96A1-BC45BA336BE5}"/>
            </c:ext>
          </c:extLst>
        </c:ser>
        <c:ser>
          <c:idx val="3"/>
          <c:order val="3"/>
          <c:tx>
            <c:v>Komusubi</c:v>
          </c:tx>
          <c:spPr>
            <a:ln w="25400" cap="rnd">
              <a:noFill/>
              <a:round/>
            </a:ln>
            <a:effectLst/>
          </c:spPr>
          <c:marker>
            <c:symbol val="circle"/>
            <c:size val="12"/>
            <c:spPr>
              <a:solidFill>
                <a:schemeClr val="accent4"/>
              </a:solidFill>
              <a:ln w="25400" cmpd="sng">
                <a:solidFill>
                  <a:schemeClr val="accent6">
                    <a:lumMod val="60000"/>
                  </a:schemeClr>
                </a:solidFill>
              </a:ln>
              <a:effectLst/>
            </c:spPr>
          </c:marker>
          <c:dLbls>
            <c:dLbl>
              <c:idx val="0"/>
              <c:tx>
                <c:rich>
                  <a:bodyPr/>
                  <a:lstStyle/>
                  <a:p>
                    <a:fld id="{4726D45A-2684-400F-95B5-2E30F27F66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899-4051-96A1-BC45BA336BE5}"/>
                </c:ext>
              </c:extLst>
            </c:dLbl>
            <c:dLbl>
              <c:idx val="1"/>
              <c:layout>
                <c:manualLayout>
                  <c:x val="-2.346470991925587E-2"/>
                  <c:y val="4.4556962025316456E-2"/>
                </c:manualLayout>
              </c:layout>
              <c:tx>
                <c:rich>
                  <a:bodyPr/>
                  <a:lstStyle/>
                  <a:p>
                    <a:fld id="{7EEEF05F-D767-41AB-8399-F67F5AD2ED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2899-4051-96A1-BC45BA336B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2023 Data'!$M$11:$M$12</c:f>
              <c:numCache>
                <c:formatCode>General</c:formatCode>
                <c:ptCount val="2"/>
                <c:pt idx="0">
                  <c:v>135</c:v>
                </c:pt>
                <c:pt idx="1">
                  <c:v>184</c:v>
                </c:pt>
              </c:numCache>
            </c:numRef>
          </c:xVal>
          <c:yVal>
            <c:numRef>
              <c:f>'September 2023 Data'!$L$11:$L$12</c:f>
              <c:numCache>
                <c:formatCode>General</c:formatCode>
                <c:ptCount val="2"/>
                <c:pt idx="0">
                  <c:v>173</c:v>
                </c:pt>
                <c:pt idx="1">
                  <c:v>185</c:v>
                </c:pt>
              </c:numCache>
            </c:numRef>
          </c:yVal>
          <c:smooth val="0"/>
          <c:extLst>
            <c:ext xmlns:c15="http://schemas.microsoft.com/office/drawing/2012/chart" uri="{02D57815-91ED-43cb-92C2-25804820EDAC}">
              <c15:datalabelsRange>
                <c15:f>'September 2023 Data'!$A$11:$A$12</c15:f>
                <c15:dlblRangeCache>
                  <c:ptCount val="2"/>
                  <c:pt idx="0">
                    <c:v>Tobizaru</c:v>
                  </c:pt>
                  <c:pt idx="1">
                    <c:v>Nishikigi</c:v>
                  </c:pt>
                </c15:dlblRangeCache>
              </c15:datalabelsRange>
            </c:ext>
            <c:ext xmlns:c16="http://schemas.microsoft.com/office/drawing/2014/chart" uri="{C3380CC4-5D6E-409C-BE32-E72D297353CC}">
              <c16:uniqueId val="{0000000C-2899-4051-96A1-BC45BA336BE5}"/>
            </c:ext>
          </c:extLst>
        </c:ser>
        <c:ser>
          <c:idx val="4"/>
          <c:order val="4"/>
          <c:tx>
            <c:v>M01-04</c:v>
          </c:tx>
          <c:spPr>
            <a:ln w="25400" cap="rnd">
              <a:noFill/>
              <a:round/>
            </a:ln>
            <a:effectLst/>
          </c:spPr>
          <c:marker>
            <c:symbol val="circle"/>
            <c:size val="9"/>
            <c:spPr>
              <a:solidFill>
                <a:schemeClr val="accent1">
                  <a:alpha val="73000"/>
                </a:schemeClr>
              </a:solidFill>
              <a:ln w="9525">
                <a:solidFill>
                  <a:schemeClr val="tx1">
                    <a:lumMod val="50000"/>
                    <a:lumOff val="50000"/>
                  </a:schemeClr>
                </a:solidFill>
              </a:ln>
              <a:effectLst/>
            </c:spPr>
          </c:marker>
          <c:dLbls>
            <c:dLbl>
              <c:idx val="0"/>
              <c:layout>
                <c:manualLayout>
                  <c:x val="-6.5994496647906825E-2"/>
                  <c:y val="1.6202531645569621E-2"/>
                </c:manualLayout>
              </c:layout>
              <c:tx>
                <c:rich>
                  <a:bodyPr/>
                  <a:lstStyle/>
                  <a:p>
                    <a:fld id="{9E780470-F490-4E29-A9AA-56B5024876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2899-4051-96A1-BC45BA336BE5}"/>
                </c:ext>
              </c:extLst>
            </c:dLbl>
            <c:dLbl>
              <c:idx val="1"/>
              <c:layout>
                <c:manualLayout>
                  <c:x val="-3.3730520508930155E-2"/>
                  <c:y val="3.8409408950463395E-2"/>
                </c:manualLayout>
              </c:layout>
              <c:tx>
                <c:rich>
                  <a:bodyPr/>
                  <a:lstStyle/>
                  <a:p>
                    <a:fld id="{240F6506-2D44-4359-A959-B6737ABCA3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2899-4051-96A1-BC45BA336BE5}"/>
                </c:ext>
              </c:extLst>
            </c:dLbl>
            <c:dLbl>
              <c:idx val="2"/>
              <c:tx>
                <c:rich>
                  <a:bodyPr/>
                  <a:lstStyle/>
                  <a:p>
                    <a:fld id="{855FB550-5DCD-4BEE-AE0E-C6E61BC581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899-4051-96A1-BC45BA336BE5}"/>
                </c:ext>
              </c:extLst>
            </c:dLbl>
            <c:dLbl>
              <c:idx val="3"/>
              <c:layout>
                <c:manualLayout>
                  <c:x val="-5.8661774798139409E-2"/>
                  <c:y val="2.4242424242424242E-2"/>
                </c:manualLayout>
              </c:layout>
              <c:tx>
                <c:rich>
                  <a:bodyPr/>
                  <a:lstStyle/>
                  <a:p>
                    <a:fld id="{3732BDC7-91D1-4BDA-912A-815845BD8E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2899-4051-96A1-BC45BA336BE5}"/>
                </c:ext>
              </c:extLst>
            </c:dLbl>
            <c:dLbl>
              <c:idx val="4"/>
              <c:tx>
                <c:rich>
                  <a:bodyPr/>
                  <a:lstStyle/>
                  <a:p>
                    <a:fld id="{5710264B-D354-4958-9949-E8568B331D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899-4051-96A1-BC45BA336BE5}"/>
                </c:ext>
              </c:extLst>
            </c:dLbl>
            <c:dLbl>
              <c:idx val="5"/>
              <c:layout>
                <c:manualLayout>
                  <c:x val="-4.252978672865107E-2"/>
                  <c:y val="2.8282828282828208E-2"/>
                </c:manualLayout>
              </c:layout>
              <c:tx>
                <c:rich>
                  <a:bodyPr/>
                  <a:lstStyle/>
                  <a:p>
                    <a:fld id="{CC399631-A1B2-4255-90C0-C73304E12C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2899-4051-96A1-BC45BA336BE5}"/>
                </c:ext>
              </c:extLst>
            </c:dLbl>
            <c:dLbl>
              <c:idx val="6"/>
              <c:tx>
                <c:rich>
                  <a:bodyPr/>
                  <a:lstStyle/>
                  <a:p>
                    <a:fld id="{6FE0F9B2-9AC8-4743-AA4E-950CEA9920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899-4051-96A1-BC45BA336BE5}"/>
                </c:ext>
              </c:extLst>
            </c:dLbl>
            <c:dLbl>
              <c:idx val="7"/>
              <c:tx>
                <c:rich>
                  <a:bodyPr/>
                  <a:lstStyle/>
                  <a:p>
                    <a:fld id="{66F023FD-1497-4FA2-A2FA-6A6A2D8C25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899-4051-96A1-BC45BA336B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2023 Data'!$M$13:$M$20</c:f>
              <c:numCache>
                <c:formatCode>General</c:formatCode>
                <c:ptCount val="8"/>
                <c:pt idx="0">
                  <c:v>155</c:v>
                </c:pt>
                <c:pt idx="1">
                  <c:v>161</c:v>
                </c:pt>
                <c:pt idx="2">
                  <c:v>160</c:v>
                </c:pt>
                <c:pt idx="3">
                  <c:v>172</c:v>
                </c:pt>
                <c:pt idx="4">
                  <c:v>160</c:v>
                </c:pt>
                <c:pt idx="5">
                  <c:v>178</c:v>
                </c:pt>
                <c:pt idx="6">
                  <c:v>143</c:v>
                </c:pt>
                <c:pt idx="7">
                  <c:v>169</c:v>
                </c:pt>
              </c:numCache>
            </c:numRef>
          </c:xVal>
          <c:yVal>
            <c:numRef>
              <c:f>'September 2023 Data'!$L$13:$L$20</c:f>
              <c:numCache>
                <c:formatCode>General</c:formatCode>
                <c:ptCount val="8"/>
                <c:pt idx="0">
                  <c:v>180</c:v>
                </c:pt>
                <c:pt idx="1">
                  <c:v>184</c:v>
                </c:pt>
                <c:pt idx="2">
                  <c:v>186</c:v>
                </c:pt>
                <c:pt idx="3">
                  <c:v>188</c:v>
                </c:pt>
                <c:pt idx="4">
                  <c:v>183</c:v>
                </c:pt>
                <c:pt idx="5">
                  <c:v>189</c:v>
                </c:pt>
                <c:pt idx="6">
                  <c:v>175</c:v>
                </c:pt>
                <c:pt idx="7">
                  <c:v>184</c:v>
                </c:pt>
              </c:numCache>
            </c:numRef>
          </c:yVal>
          <c:smooth val="0"/>
          <c:extLst>
            <c:ext xmlns:c15="http://schemas.microsoft.com/office/drawing/2012/chart" uri="{02D57815-91ED-43cb-92C2-25804820EDAC}">
              <c15:datalabelsRange>
                <c15:f>'September 2023 Data'!$A$13:$A$20</c15:f>
                <c15:dlblRangeCache>
                  <c:ptCount val="8"/>
                  <c:pt idx="0">
                    <c:v>Meisei</c:v>
                  </c:pt>
                  <c:pt idx="1">
                    <c:v>Hokutofuji</c:v>
                  </c:pt>
                  <c:pt idx="2">
                    <c:v>Abi</c:v>
                  </c:pt>
                  <c:pt idx="3">
                    <c:v>Asanoyama</c:v>
                  </c:pt>
                  <c:pt idx="4">
                    <c:v>Shodai</c:v>
                  </c:pt>
                  <c:pt idx="5">
                    <c:v>Tamawashi</c:v>
                  </c:pt>
                  <c:pt idx="6">
                    <c:v>Ura</c:v>
                  </c:pt>
                  <c:pt idx="7">
                    <c:v>Takanosho</c:v>
                  </c:pt>
                </c15:dlblRangeCache>
              </c15:datalabelsRange>
            </c:ext>
            <c:ext xmlns:c16="http://schemas.microsoft.com/office/drawing/2014/chart" uri="{C3380CC4-5D6E-409C-BE32-E72D297353CC}">
              <c16:uniqueId val="{00000015-2899-4051-96A1-BC45BA336BE5}"/>
            </c:ext>
          </c:extLst>
        </c:ser>
        <c:ser>
          <c:idx val="5"/>
          <c:order val="5"/>
          <c:tx>
            <c:v>M05-08</c:v>
          </c:tx>
          <c:spPr>
            <a:ln w="25400" cap="rnd">
              <a:noFill/>
              <a:round/>
            </a:ln>
            <a:effectLst/>
          </c:spPr>
          <c:marker>
            <c:symbol val="circle"/>
            <c:size val="8"/>
            <c:spPr>
              <a:solidFill>
                <a:schemeClr val="accent2">
                  <a:alpha val="28000"/>
                </a:schemeClr>
              </a:solidFill>
              <a:ln w="9525">
                <a:solidFill>
                  <a:schemeClr val="tx1">
                    <a:lumMod val="50000"/>
                    <a:lumOff val="50000"/>
                  </a:schemeClr>
                </a:solidFill>
              </a:ln>
              <a:effectLst/>
            </c:spPr>
          </c:marker>
          <c:dLbls>
            <c:dLbl>
              <c:idx val="0"/>
              <c:layout>
                <c:manualLayout>
                  <c:x val="-3.5197064878883647E-2"/>
                  <c:y val="2.6329113924050483E-2"/>
                </c:manualLayout>
              </c:layout>
              <c:tx>
                <c:rich>
                  <a:bodyPr/>
                  <a:lstStyle/>
                  <a:p>
                    <a:fld id="{D31845B9-CDCE-438C-94A5-167339D78A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2899-4051-96A1-BC45BA336BE5}"/>
                </c:ext>
              </c:extLst>
            </c:dLbl>
            <c:dLbl>
              <c:idx val="1"/>
              <c:tx>
                <c:rich>
                  <a:bodyPr/>
                  <a:lstStyle/>
                  <a:p>
                    <a:fld id="{5688AEB9-0AC9-4C0A-8491-089CC257F2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899-4051-96A1-BC45BA336BE5}"/>
                </c:ext>
              </c:extLst>
            </c:dLbl>
            <c:dLbl>
              <c:idx val="2"/>
              <c:tx>
                <c:rich>
                  <a:bodyPr/>
                  <a:lstStyle/>
                  <a:p>
                    <a:fld id="{BA841B48-6F4D-4974-98E1-3693D0FC1C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899-4051-96A1-BC45BA336BE5}"/>
                </c:ext>
              </c:extLst>
            </c:dLbl>
            <c:dLbl>
              <c:idx val="3"/>
              <c:layout>
                <c:manualLayout>
                  <c:x val="-3.8130153618790665E-2"/>
                  <c:y val="-2.2222222222222296E-2"/>
                </c:manualLayout>
              </c:layout>
              <c:tx>
                <c:rich>
                  <a:bodyPr/>
                  <a:lstStyle/>
                  <a:p>
                    <a:fld id="{D968AB03-B3E1-4CBA-8CA4-DC358C7F23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2899-4051-96A1-BC45BA336BE5}"/>
                </c:ext>
              </c:extLst>
            </c:dLbl>
            <c:dLbl>
              <c:idx val="4"/>
              <c:tx>
                <c:rich>
                  <a:bodyPr/>
                  <a:lstStyle/>
                  <a:p>
                    <a:fld id="{147FB432-97D3-4A59-9BC8-B280C30E2F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899-4051-96A1-BC45BA336BE5}"/>
                </c:ext>
              </c:extLst>
            </c:dLbl>
            <c:dLbl>
              <c:idx val="5"/>
              <c:tx>
                <c:rich>
                  <a:bodyPr/>
                  <a:lstStyle/>
                  <a:p>
                    <a:fld id="{FB703FCF-7197-4FE7-82F5-C0FF6C7C66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899-4051-96A1-BC45BA336BE5}"/>
                </c:ext>
              </c:extLst>
            </c:dLbl>
            <c:dLbl>
              <c:idx val="6"/>
              <c:tx>
                <c:rich>
                  <a:bodyPr/>
                  <a:lstStyle/>
                  <a:p>
                    <a:fld id="{D0B81282-7324-460A-8F23-83548C41A3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899-4051-96A1-BC45BA336BE5}"/>
                </c:ext>
              </c:extLst>
            </c:dLbl>
            <c:dLbl>
              <c:idx val="7"/>
              <c:tx>
                <c:rich>
                  <a:bodyPr/>
                  <a:lstStyle/>
                  <a:p>
                    <a:fld id="{DF81AC73-8DBD-4C51-9C15-2CD2EC7532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899-4051-96A1-BC45BA336B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2023 Data'!$M$21:$M$28</c:f>
              <c:numCache>
                <c:formatCode>General</c:formatCode>
                <c:ptCount val="8"/>
                <c:pt idx="0">
                  <c:v>156</c:v>
                </c:pt>
                <c:pt idx="1">
                  <c:v>185</c:v>
                </c:pt>
                <c:pt idx="2">
                  <c:v>170</c:v>
                </c:pt>
                <c:pt idx="3">
                  <c:v>155</c:v>
                </c:pt>
                <c:pt idx="4">
                  <c:v>174</c:v>
                </c:pt>
                <c:pt idx="5">
                  <c:v>186</c:v>
                </c:pt>
                <c:pt idx="6">
                  <c:v>136</c:v>
                </c:pt>
                <c:pt idx="7">
                  <c:v>127</c:v>
                </c:pt>
              </c:numCache>
            </c:numRef>
          </c:xVal>
          <c:yVal>
            <c:numRef>
              <c:f>'September 2023 Data'!$L$21:$L$28</c:f>
              <c:numCache>
                <c:formatCode>General</c:formatCode>
                <c:ptCount val="8"/>
                <c:pt idx="0">
                  <c:v>178</c:v>
                </c:pt>
                <c:pt idx="1">
                  <c:v>193</c:v>
                </c:pt>
                <c:pt idx="2">
                  <c:v>177</c:v>
                </c:pt>
                <c:pt idx="3">
                  <c:v>189</c:v>
                </c:pt>
                <c:pt idx="4">
                  <c:v>191</c:v>
                </c:pt>
                <c:pt idx="5">
                  <c:v>188</c:v>
                </c:pt>
                <c:pt idx="6">
                  <c:v>178</c:v>
                </c:pt>
                <c:pt idx="7">
                  <c:v>176</c:v>
                </c:pt>
              </c:numCache>
            </c:numRef>
          </c:yVal>
          <c:smooth val="0"/>
          <c:extLst>
            <c:ext xmlns:c15="http://schemas.microsoft.com/office/drawing/2012/chart" uri="{02D57815-91ED-43cb-92C2-25804820EDAC}">
              <c15:datalabelsRange>
                <c15:f>'September 2023 Data'!$A$21:$A$28</c15:f>
                <c15:dlblRangeCache>
                  <c:ptCount val="8"/>
                  <c:pt idx="0">
                    <c:v>Gonoyama</c:v>
                  </c:pt>
                  <c:pt idx="1">
                    <c:v>Shonannoumi</c:v>
                  </c:pt>
                  <c:pt idx="2">
                    <c:v>Onosho</c:v>
                  </c:pt>
                  <c:pt idx="3">
                    <c:v>Ryuden</c:v>
                  </c:pt>
                  <c:pt idx="4">
                    <c:v>Oho</c:v>
                  </c:pt>
                  <c:pt idx="5">
                    <c:v>Takayasu</c:v>
                  </c:pt>
                  <c:pt idx="6">
                    <c:v>Hiradoumi</c:v>
                  </c:pt>
                  <c:pt idx="7">
                    <c:v>Kotoeko</c:v>
                  </c:pt>
                </c15:dlblRangeCache>
              </c15:datalabelsRange>
            </c:ext>
            <c:ext xmlns:c16="http://schemas.microsoft.com/office/drawing/2014/chart" uri="{C3380CC4-5D6E-409C-BE32-E72D297353CC}">
              <c16:uniqueId val="{0000001E-2899-4051-96A1-BC45BA336BE5}"/>
            </c:ext>
          </c:extLst>
        </c:ser>
        <c:ser>
          <c:idx val="6"/>
          <c:order val="6"/>
          <c:tx>
            <c:v>M09-12</c:v>
          </c:tx>
          <c:spPr>
            <a:ln w="25400" cap="rnd">
              <a:noFill/>
              <a:round/>
            </a:ln>
            <a:effectLst/>
          </c:spPr>
          <c:marker>
            <c:symbol val="circle"/>
            <c:size val="5"/>
            <c:spPr>
              <a:solidFill>
                <a:schemeClr val="accent2">
                  <a:alpha val="52000"/>
                </a:schemeClr>
              </a:solidFill>
              <a:ln w="9525">
                <a:solidFill>
                  <a:schemeClr val="accent1">
                    <a:lumMod val="60000"/>
                  </a:schemeClr>
                </a:solidFill>
              </a:ln>
              <a:effectLst/>
            </c:spPr>
          </c:marker>
          <c:dLbls>
            <c:dLbl>
              <c:idx val="0"/>
              <c:tx>
                <c:rich>
                  <a:bodyPr/>
                  <a:lstStyle/>
                  <a:p>
                    <a:fld id="{7467A284-267E-42F7-9190-668040C85B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899-4051-96A1-BC45BA336BE5}"/>
                </c:ext>
              </c:extLst>
            </c:dLbl>
            <c:dLbl>
              <c:idx val="1"/>
              <c:layout>
                <c:manualLayout>
                  <c:x val="-1.1732354959627881E-2"/>
                  <c:y val="2.2222222222222223E-2"/>
                </c:manualLayout>
              </c:layout>
              <c:tx>
                <c:rich>
                  <a:bodyPr/>
                  <a:lstStyle/>
                  <a:p>
                    <a:fld id="{C75829A1-5FCC-4FB0-960E-7870E5A9CC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2899-4051-96A1-BC45BA336BE5}"/>
                </c:ext>
              </c:extLst>
            </c:dLbl>
            <c:dLbl>
              <c:idx val="2"/>
              <c:layout>
                <c:manualLayout>
                  <c:x val="-2.1998165549302385E-2"/>
                  <c:y val="-2.6329113924050709E-2"/>
                </c:manualLayout>
              </c:layout>
              <c:tx>
                <c:rich>
                  <a:bodyPr/>
                  <a:lstStyle/>
                  <a:p>
                    <a:fld id="{A66DF11C-6118-4DCF-A616-B6C37C01D6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2899-4051-96A1-BC45BA336BE5}"/>
                </c:ext>
              </c:extLst>
            </c:dLbl>
            <c:dLbl>
              <c:idx val="3"/>
              <c:tx>
                <c:rich>
                  <a:bodyPr/>
                  <a:lstStyle/>
                  <a:p>
                    <a:fld id="{DBF6A13E-2BF5-42DB-A4E3-D55E0852D8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899-4051-96A1-BC45BA336BE5}"/>
                </c:ext>
              </c:extLst>
            </c:dLbl>
            <c:dLbl>
              <c:idx val="4"/>
              <c:tx>
                <c:rich>
                  <a:bodyPr/>
                  <a:lstStyle/>
                  <a:p>
                    <a:fld id="{1CA75EFC-EFDD-4778-9AD4-D32E25F9F8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899-4051-96A1-BC45BA336BE5}"/>
                </c:ext>
              </c:extLst>
            </c:dLbl>
            <c:dLbl>
              <c:idx val="5"/>
              <c:tx>
                <c:rich>
                  <a:bodyPr/>
                  <a:lstStyle/>
                  <a:p>
                    <a:fld id="{F67271D3-F492-4385-9F03-70D586BF42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2899-4051-96A1-BC45BA336BE5}"/>
                </c:ext>
              </c:extLst>
            </c:dLbl>
            <c:dLbl>
              <c:idx val="6"/>
              <c:layout>
                <c:manualLayout>
                  <c:x val="-1.7598532439441823E-2"/>
                  <c:y val="2.0202020202020127E-2"/>
                </c:manualLayout>
              </c:layout>
              <c:tx>
                <c:rich>
                  <a:bodyPr/>
                  <a:lstStyle/>
                  <a:p>
                    <a:fld id="{E7210ECA-9AC4-401D-AF5A-206330B9B7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2899-4051-96A1-BC45BA336BE5}"/>
                </c:ext>
              </c:extLst>
            </c:dLbl>
            <c:dLbl>
              <c:idx val="7"/>
              <c:tx>
                <c:rich>
                  <a:bodyPr/>
                  <a:lstStyle/>
                  <a:p>
                    <a:fld id="{AF872D14-B417-4EBB-A61C-1966C1BF37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2899-4051-96A1-BC45BA336B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2023 Data'!$M$29:$M$36</c:f>
              <c:numCache>
                <c:formatCode>General</c:formatCode>
                <c:ptCount val="8"/>
                <c:pt idx="0">
                  <c:v>115</c:v>
                </c:pt>
                <c:pt idx="1">
                  <c:v>158</c:v>
                </c:pt>
                <c:pt idx="2">
                  <c:v>180</c:v>
                </c:pt>
                <c:pt idx="3">
                  <c:v>148</c:v>
                </c:pt>
                <c:pt idx="4">
                  <c:v>164</c:v>
                </c:pt>
                <c:pt idx="5">
                  <c:v>181</c:v>
                </c:pt>
                <c:pt idx="6">
                  <c:v>144</c:v>
                </c:pt>
                <c:pt idx="7">
                  <c:v>169</c:v>
                </c:pt>
              </c:numCache>
            </c:numRef>
          </c:xVal>
          <c:yVal>
            <c:numRef>
              <c:f>'September 2023 Data'!$L$29:$L$36</c:f>
              <c:numCache>
                <c:formatCode>General</c:formatCode>
                <c:ptCount val="8"/>
                <c:pt idx="0">
                  <c:v>174</c:v>
                </c:pt>
                <c:pt idx="1">
                  <c:v>181</c:v>
                </c:pt>
                <c:pt idx="2">
                  <c:v>193</c:v>
                </c:pt>
                <c:pt idx="3">
                  <c:v>184</c:v>
                </c:pt>
                <c:pt idx="4">
                  <c:v>179</c:v>
                </c:pt>
                <c:pt idx="5">
                  <c:v>204</c:v>
                </c:pt>
                <c:pt idx="6">
                  <c:v>182</c:v>
                </c:pt>
                <c:pt idx="7">
                  <c:v>186</c:v>
                </c:pt>
              </c:numCache>
            </c:numRef>
          </c:yVal>
          <c:smooth val="0"/>
          <c:extLst>
            <c:ext xmlns:c15="http://schemas.microsoft.com/office/drawing/2012/chart" uri="{02D57815-91ED-43cb-92C2-25804820EDAC}">
              <c15:datalabelsRange>
                <c15:f>'September 2023 Data'!$A$29:$A$36</c15:f>
                <c15:dlblRangeCache>
                  <c:ptCount val="8"/>
                  <c:pt idx="0">
                    <c:v>Midorifuji</c:v>
                  </c:pt>
                  <c:pt idx="1">
                    <c:v>Hakuoho</c:v>
                  </c:pt>
                  <c:pt idx="2">
                    <c:v>Kinbozan</c:v>
                  </c:pt>
                  <c:pt idx="3">
                    <c:v>Endo</c:v>
                  </c:pt>
                  <c:pt idx="4">
                    <c:v>Mitakeumi</c:v>
                  </c:pt>
                  <c:pt idx="5">
                    <c:v>Hokuseiho</c:v>
                  </c:pt>
                  <c:pt idx="6">
                    <c:v>Sadanoumi</c:v>
                  </c:pt>
                  <c:pt idx="7">
                    <c:v>Takarafuji</c:v>
                  </c:pt>
                </c15:dlblRangeCache>
              </c15:datalabelsRange>
            </c:ext>
            <c:ext xmlns:c16="http://schemas.microsoft.com/office/drawing/2014/chart" uri="{C3380CC4-5D6E-409C-BE32-E72D297353CC}">
              <c16:uniqueId val="{00000027-2899-4051-96A1-BC45BA336BE5}"/>
            </c:ext>
          </c:extLst>
        </c:ser>
        <c:ser>
          <c:idx val="7"/>
          <c:order val="7"/>
          <c:tx>
            <c:v>M13-17</c:v>
          </c:tx>
          <c:spPr>
            <a:ln w="25400" cap="rnd">
              <a:noFill/>
              <a:round/>
            </a:ln>
            <a:effectLst/>
          </c:spPr>
          <c:marker>
            <c:symbol val="circle"/>
            <c:size val="4"/>
            <c:spPr>
              <a:solidFill>
                <a:schemeClr val="tx2">
                  <a:lumMod val="40000"/>
                  <a:lumOff val="60000"/>
                  <a:alpha val="48000"/>
                </a:schemeClr>
              </a:solidFill>
              <a:ln w="9525">
                <a:solidFill>
                  <a:schemeClr val="bg2">
                    <a:lumMod val="75000"/>
                  </a:schemeClr>
                </a:solidFill>
              </a:ln>
              <a:effectLst/>
            </c:spPr>
          </c:marker>
          <c:dLbls>
            <c:dLbl>
              <c:idx val="0"/>
              <c:layout>
                <c:manualLayout>
                  <c:x val="-2.4931254289209302E-2"/>
                  <c:y val="2.0202020202020204E-2"/>
                </c:manualLayout>
              </c:layout>
              <c:tx>
                <c:rich>
                  <a:bodyPr/>
                  <a:lstStyle/>
                  <a:p>
                    <a:fld id="{579D3962-E2F1-493E-B1F8-D038C63B10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2899-4051-96A1-BC45BA336BE5}"/>
                </c:ext>
              </c:extLst>
            </c:dLbl>
            <c:dLbl>
              <c:idx val="1"/>
              <c:layout>
                <c:manualLayout>
                  <c:x val="-3.5197064878883647E-2"/>
                  <c:y val="1.2162105053323956E-2"/>
                </c:manualLayout>
              </c:layout>
              <c:tx>
                <c:rich>
                  <a:bodyPr/>
                  <a:lstStyle/>
                  <a:p>
                    <a:fld id="{F22A3996-83FB-47E7-B24F-155CB2A702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2899-4051-96A1-BC45BA336BE5}"/>
                </c:ext>
              </c:extLst>
            </c:dLbl>
            <c:dLbl>
              <c:idx val="2"/>
              <c:layout>
                <c:manualLayout>
                  <c:x val="-1.6131988069488335E-2"/>
                  <c:y val="-2.430379746835443E-2"/>
                </c:manualLayout>
              </c:layout>
              <c:tx>
                <c:rich>
                  <a:bodyPr/>
                  <a:lstStyle/>
                  <a:p>
                    <a:fld id="{8B4CEB97-26EC-4BC1-82B7-3F0C1BA5EE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2899-4051-96A1-BC45BA336BE5}"/>
                </c:ext>
              </c:extLst>
            </c:dLbl>
            <c:dLbl>
              <c:idx val="3"/>
              <c:tx>
                <c:rich>
                  <a:bodyPr/>
                  <a:lstStyle/>
                  <a:p>
                    <a:fld id="{A1AD7261-7640-450F-ABA5-64A0B713D3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2899-4051-96A1-BC45BA336BE5}"/>
                </c:ext>
              </c:extLst>
            </c:dLbl>
            <c:dLbl>
              <c:idx val="4"/>
              <c:layout>
                <c:manualLayout>
                  <c:x val="-6.3061407907999856E-2"/>
                  <c:y val="2.2206877304893777E-2"/>
                </c:manualLayout>
              </c:layout>
              <c:tx>
                <c:rich>
                  <a:bodyPr/>
                  <a:lstStyle/>
                  <a:p>
                    <a:fld id="{3AF4C8C1-280E-45CA-9981-44BCC077A2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2899-4051-96A1-BC45BA336BE5}"/>
                </c:ext>
              </c:extLst>
            </c:dLbl>
            <c:dLbl>
              <c:idx val="5"/>
              <c:layout>
                <c:manualLayout>
                  <c:x val="-4.2529786728651174E-2"/>
                  <c:y val="2.9326103857270931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9938AB4B-28CC-4A60-9DC1-6EF8883FB4A0}"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5.7906446709646037E-2"/>
                      <c:h val="3.0349446825475929E-2"/>
                    </c:manualLayout>
                  </c15:layout>
                  <c15:dlblFieldTable/>
                  <c15:showDataLabelsRange val="1"/>
                </c:ext>
                <c:ext xmlns:c16="http://schemas.microsoft.com/office/drawing/2014/chart" uri="{C3380CC4-5D6E-409C-BE32-E72D297353CC}">
                  <c16:uniqueId val="{0000002D-2899-4051-96A1-BC45BA336BE5}"/>
                </c:ext>
              </c:extLst>
            </c:dLbl>
            <c:dLbl>
              <c:idx val="6"/>
              <c:layout>
                <c:manualLayout>
                  <c:x val="-4.3996331098605634E-3"/>
                  <c:y val="3.9739260440546193E-3"/>
                </c:manualLayout>
              </c:layout>
              <c:tx>
                <c:rich>
                  <a:bodyPr/>
                  <a:lstStyle/>
                  <a:p>
                    <a:fld id="{751E142D-E663-4551-A247-C65B69A9B6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2899-4051-96A1-BC45BA336BE5}"/>
                </c:ext>
              </c:extLst>
            </c:dLbl>
            <c:dLbl>
              <c:idx val="7"/>
              <c:layout>
                <c:manualLayout>
                  <c:x val="-2.6397798659162731E-2"/>
                  <c:y val="-2.2278481012658301E-2"/>
                </c:manualLayout>
              </c:layout>
              <c:tx>
                <c:rich>
                  <a:bodyPr/>
                  <a:lstStyle/>
                  <a:p>
                    <a:fld id="{7A66D0E0-FB07-44C2-8BB4-BAD6C38876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2899-4051-96A1-BC45BA336BE5}"/>
                </c:ext>
              </c:extLst>
            </c:dLbl>
            <c:dLbl>
              <c:idx val="8"/>
              <c:tx>
                <c:rich>
                  <a:bodyPr/>
                  <a:lstStyle/>
                  <a:p>
                    <a:fld id="{D5865718-5812-48AD-9850-361D33AAF5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2899-4051-96A1-BC45BA336B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2023 Data'!$M$37:$M$45</c:f>
              <c:numCache>
                <c:formatCode>General</c:formatCode>
                <c:ptCount val="9"/>
                <c:pt idx="0">
                  <c:v>154</c:v>
                </c:pt>
                <c:pt idx="1">
                  <c:v>155</c:v>
                </c:pt>
                <c:pt idx="2">
                  <c:v>164</c:v>
                </c:pt>
                <c:pt idx="3">
                  <c:v>186</c:v>
                </c:pt>
                <c:pt idx="4">
                  <c:v>140</c:v>
                </c:pt>
                <c:pt idx="5">
                  <c:v>181</c:v>
                </c:pt>
                <c:pt idx="6">
                  <c:v>187</c:v>
                </c:pt>
                <c:pt idx="7">
                  <c:v>160</c:v>
                </c:pt>
                <c:pt idx="8">
                  <c:v>198</c:v>
                </c:pt>
              </c:numCache>
            </c:numRef>
          </c:xVal>
          <c:yVal>
            <c:numRef>
              <c:f>'September 2023 Data'!$L$37:$L$45</c:f>
              <c:numCache>
                <c:formatCode>General</c:formatCode>
                <c:ptCount val="9"/>
                <c:pt idx="0">
                  <c:v>184</c:v>
                </c:pt>
                <c:pt idx="1">
                  <c:v>188</c:v>
                </c:pt>
                <c:pt idx="2">
                  <c:v>190</c:v>
                </c:pt>
                <c:pt idx="3">
                  <c:v>191</c:v>
                </c:pt>
                <c:pt idx="4">
                  <c:v>183</c:v>
                </c:pt>
                <c:pt idx="5">
                  <c:v>186</c:v>
                </c:pt>
                <c:pt idx="6">
                  <c:v>185</c:v>
                </c:pt>
                <c:pt idx="7">
                  <c:v>192</c:v>
                </c:pt>
                <c:pt idx="8">
                  <c:v>185</c:v>
                </c:pt>
              </c:numCache>
            </c:numRef>
          </c:yVal>
          <c:smooth val="0"/>
          <c:extLst>
            <c:ext xmlns:c15="http://schemas.microsoft.com/office/drawing/2012/chart" uri="{02D57815-91ED-43cb-92C2-25804820EDAC}">
              <c15:datalabelsRange>
                <c15:f>'September 2023 Data'!$A$37:$A$45</c15:f>
                <c15:dlblRangeCache>
                  <c:ptCount val="9"/>
                  <c:pt idx="0">
                    <c:v>Nishikifuji</c:v>
                  </c:pt>
                  <c:pt idx="1">
                    <c:v>Myogiryu</c:v>
                  </c:pt>
                  <c:pt idx="2">
                    <c:v>Kotoshoho</c:v>
                  </c:pt>
                  <c:pt idx="3">
                    <c:v>Aoiyama</c:v>
                  </c:pt>
                  <c:pt idx="4">
                    <c:v>Chiyoshoma</c:v>
                  </c:pt>
                  <c:pt idx="5">
                    <c:v>Atamifuji</c:v>
                  </c:pt>
                  <c:pt idx="6">
                    <c:v>Tsurugisho</c:v>
                  </c:pt>
                  <c:pt idx="7">
                    <c:v>Kagayaki</c:v>
                  </c:pt>
                  <c:pt idx="8">
                    <c:v>Daishoho</c:v>
                  </c:pt>
                </c15:dlblRangeCache>
              </c15:datalabelsRange>
            </c:ext>
            <c:ext xmlns:c16="http://schemas.microsoft.com/office/drawing/2014/chart" uri="{C3380CC4-5D6E-409C-BE32-E72D297353CC}">
              <c16:uniqueId val="{00000031-2899-4051-96A1-BC45BA336BE5}"/>
            </c:ext>
          </c:extLst>
        </c:ser>
        <c:dLbls>
          <c:showLegendKey val="0"/>
          <c:showVal val="0"/>
          <c:showCatName val="0"/>
          <c:showSerName val="0"/>
          <c:showPercent val="0"/>
          <c:showBubbleSize val="0"/>
        </c:dLbls>
        <c:axId val="745971600"/>
        <c:axId val="745971928"/>
      </c:scatterChart>
      <c:valAx>
        <c:axId val="745971600"/>
        <c:scaling>
          <c:orientation val="minMax"/>
          <c:max val="205"/>
          <c:min val="11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800"/>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in val="16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800"/>
                  <a:t>Height in Centimeters</a:t>
                </a:r>
              </a:p>
            </c:rich>
          </c:tx>
          <c:layout>
            <c:manualLayout>
              <c:xMode val="edge"/>
              <c:yMode val="edge"/>
              <c:x val="3.0448001590796477E-2"/>
              <c:y val="8.288041463171536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91023697624879429"/>
          <c:y val="1.1761507026811524E-2"/>
          <c:w val="7.6658699212096157E-2"/>
          <c:h val="0.272729181579575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0"/>
    <c:plotArea>
      <c:layout/>
      <c:barChart>
        <c:barDir val="col"/>
        <c:grouping val="clustered"/>
        <c:varyColors val="0"/>
        <c:dLbls>
          <c:showLegendKey val="0"/>
          <c:showVal val="0"/>
          <c:showCatName val="0"/>
          <c:showSerName val="0"/>
          <c:showPercent val="0"/>
          <c:showBubbleSize val="0"/>
        </c:dLbls>
        <c:gapWidth val="150"/>
        <c:axId val="1"/>
        <c:axId val="2"/>
      </c:barChart>
      <c:catAx>
        <c:axId val="1"/>
        <c:scaling>
          <c:orientation val="minMax"/>
        </c:scaling>
        <c:delete val="0"/>
        <c:axPos val="b"/>
        <c:majorTickMark val="out"/>
        <c:minorTickMark val="none"/>
        <c:tickLblPos val="nextTo"/>
        <c:crossAx val="2"/>
        <c:crosses val="autoZero"/>
        <c:auto val="1"/>
        <c:lblAlgn val="ctr"/>
        <c:lblOffset val="100"/>
        <c:noMultiLvlLbl val="0"/>
      </c:catAx>
      <c:valAx>
        <c:axId val="2"/>
        <c:scaling>
          <c:orientation val="minMax"/>
        </c:scaling>
        <c:delete val="0"/>
        <c:axPos val="l"/>
        <c:majorGridlines/>
        <c:majorTickMark val="out"/>
        <c:minorTickMark val="none"/>
        <c:tickLblPos val="nextTo"/>
        <c:crossAx val="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September 2022 Makuuchi Wrestlers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119183306339276E-2"/>
          <c:y val="7.4949545259717767E-2"/>
          <c:w val="0.81188907136193378"/>
          <c:h val="0.85594431898299383"/>
        </c:manualLayout>
      </c:layout>
      <c:scatterChart>
        <c:scatterStyle val="lineMarker"/>
        <c:varyColors val="0"/>
        <c:ser>
          <c:idx val="0"/>
          <c:order val="0"/>
          <c:tx>
            <c:strRef>
              <c:f>'September 2022 Data'!$C$4</c:f>
              <c:strCache>
                <c:ptCount val="1"/>
                <c:pt idx="0">
                  <c:v>Yokozuna</c:v>
                </c:pt>
              </c:strCache>
            </c:strRef>
          </c:tx>
          <c:spPr>
            <a:ln w="25400" cap="rnd">
              <a:noFill/>
              <a:round/>
            </a:ln>
            <a:effectLst/>
          </c:spPr>
          <c:marker>
            <c:symbol val="circle"/>
            <c:size val="13"/>
            <c:spPr>
              <a:solidFill>
                <a:schemeClr val="accent1"/>
              </a:solidFill>
              <a:ln w="9525">
                <a:solidFill>
                  <a:schemeClr val="accent1"/>
                </a:solidFill>
              </a:ln>
              <a:effectLst/>
            </c:spPr>
          </c:marker>
          <c:dLbls>
            <c:dLbl>
              <c:idx val="0"/>
              <c:tx>
                <c:rich>
                  <a:bodyPr/>
                  <a:lstStyle/>
                  <a:p>
                    <a:fld id="{41272CD4-64CD-41F3-94F3-7846DF4C3E7D}" type="CELLREF">
                      <a:rPr lang="en-US"/>
                      <a:pPr/>
                      <a:t>[CELLREF]</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{41272CD4-64CD-41F3-94F3-7846DF4C3E7D}</c15:txfldGUID>
                      <c15:f>'September 2022 Data'!$A$4</c15:f>
                      <c15:dlblFieldTableCache>
                        <c:ptCount val="1"/>
                        <c:pt idx="0">
                          <c:v>Terunofuji</c:v>
                        </c:pt>
                      </c15:dlblFieldTableCache>
                    </c15:dlblFTEntry>
                  </c15:dlblFieldTable>
                  <c15:showDataLabelsRange val="0"/>
                </c:ext>
                <c:ext xmlns:c16="http://schemas.microsoft.com/office/drawing/2014/chart" uri="{C3380CC4-5D6E-409C-BE32-E72D297353CC}">
                  <c16:uniqueId val="{00000035-A485-42A7-BF7D-0B686981A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'September 2022 Data'!$F$4</c:f>
              <c:numCache>
                <c:formatCode>General</c:formatCode>
                <c:ptCount val="1"/>
                <c:pt idx="0">
                  <c:v>181</c:v>
                </c:pt>
              </c:numCache>
            </c:numRef>
          </c:xVal>
          <c:yVal>
            <c:numRef>
              <c:f>'September 2022 Data'!$E$4</c:f>
              <c:numCache>
                <c:formatCode>General</c:formatCode>
                <c:ptCount val="1"/>
                <c:pt idx="0">
                  <c:v>192</c:v>
                </c:pt>
              </c:numCache>
            </c:numRef>
          </c:yVal>
          <c:smooth val="0"/>
          <c:extLst>
            <c:ext xmlns:c16="http://schemas.microsoft.com/office/drawing/2014/chart" uri="{C3380CC4-5D6E-409C-BE32-E72D297353CC}">
              <c16:uniqueId val="{0000002D-A485-42A7-BF7D-0B686981A7EC}"/>
            </c:ext>
          </c:extLst>
        </c:ser>
        <c:ser>
          <c:idx val="1"/>
          <c:order val="1"/>
          <c:tx>
            <c:strRef>
              <c:f>'September 2022 Data'!$C$5</c:f>
              <c:strCache>
                <c:ptCount val="1"/>
                <c:pt idx="0">
                  <c:v>Ozeki</c:v>
                </c:pt>
              </c:strCache>
            </c:strRef>
          </c:tx>
          <c:spPr>
            <a:ln w="25400" cap="rnd">
              <a:noFill/>
              <a:round/>
            </a:ln>
            <a:effectLst/>
          </c:spPr>
          <c:marker>
            <c:symbol val="circle"/>
            <c:size val="11"/>
            <c:spPr>
              <a:solidFill>
                <a:schemeClr val="accent2"/>
              </a:solidFill>
              <a:ln w="9525">
                <a:solidFill>
                  <a:schemeClr val="accent2"/>
                </a:solidFill>
              </a:ln>
              <a:effectLst/>
            </c:spPr>
          </c:marker>
          <c:dLbls>
            <c:dLbl>
              <c:idx val="0"/>
              <c:tx>
                <c:rich>
                  <a:bodyPr/>
                  <a:lstStyle/>
                  <a:p>
                    <a:fld id="{9E138228-6CEA-441B-AE8E-517C44C9CD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A485-42A7-BF7D-0B686981A7EC}"/>
                </c:ext>
              </c:extLst>
            </c:dLbl>
            <c:dLbl>
              <c:idx val="1"/>
              <c:tx>
                <c:rich>
                  <a:bodyPr/>
                  <a:lstStyle/>
                  <a:p>
                    <a:fld id="{3335604D-62E0-4711-BB45-F36E62FF26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A485-42A7-BF7D-0B686981A7EC}"/>
                </c:ext>
              </c:extLst>
            </c:dLbl>
            <c:dLbl>
              <c:idx val="2"/>
              <c:tx>
                <c:rich>
                  <a:bodyPr/>
                  <a:lstStyle/>
                  <a:p>
                    <a:fld id="{31157A9C-B923-4C5A-98AA-3D70498F74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A485-42A7-BF7D-0B686981A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2022 Data'!$F$5:$F$7</c:f>
              <c:numCache>
                <c:formatCode>General</c:formatCode>
                <c:ptCount val="3"/>
                <c:pt idx="0">
                  <c:v>163</c:v>
                </c:pt>
                <c:pt idx="1">
                  <c:v>171</c:v>
                </c:pt>
                <c:pt idx="2">
                  <c:v>162</c:v>
                </c:pt>
              </c:numCache>
            </c:numRef>
          </c:xVal>
          <c:yVal>
            <c:numRef>
              <c:f>'September 2022 Data'!$E$5:$E$7</c:f>
              <c:numCache>
                <c:formatCode>General</c:formatCode>
                <c:ptCount val="3"/>
                <c:pt idx="0">
                  <c:v>175</c:v>
                </c:pt>
                <c:pt idx="1">
                  <c:v>179</c:v>
                </c:pt>
                <c:pt idx="2">
                  <c:v>183</c:v>
                </c:pt>
              </c:numCache>
            </c:numRef>
          </c:yVal>
          <c:smooth val="0"/>
          <c:extLst>
            <c:ext xmlns:c15="http://schemas.microsoft.com/office/drawing/2012/chart" uri="{02D57815-91ED-43cb-92C2-25804820EDAC}">
              <c15:datalabelsRange>
                <c15:f>'September 2022 Data'!$A$5:$A$7</c15:f>
                <c15:dlblRangeCache>
                  <c:ptCount val="3"/>
                  <c:pt idx="0">
                    <c:v>Takakeisho</c:v>
                  </c:pt>
                  <c:pt idx="1">
                    <c:v>Mitakeumi</c:v>
                  </c:pt>
                  <c:pt idx="2">
                    <c:v>Shodai</c:v>
                  </c:pt>
                </c15:dlblRangeCache>
              </c15:datalabelsRange>
            </c:ext>
            <c:ext xmlns:c16="http://schemas.microsoft.com/office/drawing/2014/chart" uri="{C3380CC4-5D6E-409C-BE32-E72D297353CC}">
              <c16:uniqueId val="{0000002E-A485-42A7-BF7D-0B686981A7EC}"/>
            </c:ext>
          </c:extLst>
        </c:ser>
        <c:ser>
          <c:idx val="2"/>
          <c:order val="2"/>
          <c:tx>
            <c:strRef>
              <c:f>'September 2022 Data'!$C$8</c:f>
              <c:strCache>
                <c:ptCount val="1"/>
                <c:pt idx="0">
                  <c:v>Sekiwake</c:v>
                </c:pt>
              </c:strCache>
            </c:strRef>
          </c:tx>
          <c:spPr>
            <a:ln w="25400" cap="rnd">
              <a:noFill/>
              <a:round/>
            </a:ln>
            <a:effectLst/>
          </c:spPr>
          <c:marker>
            <c:symbol val="circle"/>
            <c:size val="9"/>
            <c:spPr>
              <a:solidFill>
                <a:schemeClr val="accent3"/>
              </a:solidFill>
              <a:ln w="9525">
                <a:solidFill>
                  <a:schemeClr val="accent3"/>
                </a:solidFill>
              </a:ln>
              <a:effectLst/>
            </c:spPr>
          </c:marker>
          <c:dLbls>
            <c:dLbl>
              <c:idx val="0"/>
              <c:tx>
                <c:rich>
                  <a:bodyPr/>
                  <a:lstStyle/>
                  <a:p>
                    <a:fld id="{DE0C2FF1-DF3B-4677-A9E4-F09B0820CB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A485-42A7-BF7D-0B686981A7EC}"/>
                </c:ext>
              </c:extLst>
            </c:dLbl>
            <c:dLbl>
              <c:idx val="1"/>
              <c:layout>
                <c:manualLayout>
                  <c:x val="-0.11429114683193387"/>
                  <c:y val="-1.8165136827343633E-2"/>
                </c:manualLayout>
              </c:layout>
              <c:tx>
                <c:rich>
                  <a:bodyPr/>
                  <a:lstStyle/>
                  <a:p>
                    <a:fld id="{AB678A54-9620-4C49-A213-0EB16E42FC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A485-42A7-BF7D-0B686981A7EC}"/>
                </c:ext>
              </c:extLst>
            </c:dLbl>
            <c:dLbl>
              <c:idx val="2"/>
              <c:tx>
                <c:rich>
                  <a:bodyPr/>
                  <a:lstStyle/>
                  <a:p>
                    <a:fld id="{909DD6E6-E444-417C-9124-4648770DC6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A485-42A7-BF7D-0B686981A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2022 Data'!$F$8:$F$10</c:f>
              <c:numCache>
                <c:formatCode>General</c:formatCode>
                <c:ptCount val="3"/>
                <c:pt idx="0">
                  <c:v>161</c:v>
                </c:pt>
                <c:pt idx="1">
                  <c:v>132</c:v>
                </c:pt>
                <c:pt idx="2">
                  <c:v>140</c:v>
                </c:pt>
              </c:numCache>
            </c:numRef>
          </c:xVal>
          <c:yVal>
            <c:numRef>
              <c:f>'September 2022 Data'!$E$8:$E$10</c:f>
              <c:numCache>
                <c:formatCode>General</c:formatCode>
                <c:ptCount val="3"/>
                <c:pt idx="0">
                  <c:v>182</c:v>
                </c:pt>
                <c:pt idx="1">
                  <c:v>183</c:v>
                </c:pt>
                <c:pt idx="2">
                  <c:v>185</c:v>
                </c:pt>
              </c:numCache>
            </c:numRef>
          </c:yVal>
          <c:smooth val="0"/>
          <c:extLst>
            <c:ext xmlns:c15="http://schemas.microsoft.com/office/drawing/2012/chart" uri="{02D57815-91ED-43cb-92C2-25804820EDAC}">
              <c15:datalabelsRange>
                <c15:f>'September 2022 Data'!$A$8:$A$10</c15:f>
                <c15:dlblRangeCache>
                  <c:ptCount val="3"/>
                  <c:pt idx="0">
                    <c:v>Daieisho</c:v>
                  </c:pt>
                  <c:pt idx="1">
                    <c:v>Wakatakakage</c:v>
                  </c:pt>
                  <c:pt idx="2">
                    <c:v>Hoshoryu</c:v>
                  </c:pt>
                </c15:dlblRangeCache>
              </c15:datalabelsRange>
            </c:ext>
            <c:ext xmlns:c16="http://schemas.microsoft.com/office/drawing/2014/chart" uri="{C3380CC4-5D6E-409C-BE32-E72D297353CC}">
              <c16:uniqueId val="{0000002F-A485-42A7-BF7D-0B686981A7EC}"/>
            </c:ext>
          </c:extLst>
        </c:ser>
        <c:ser>
          <c:idx val="3"/>
          <c:order val="3"/>
          <c:tx>
            <c:strRef>
              <c:f>'September 2022 Data'!$C$11</c:f>
              <c:strCache>
                <c:ptCount val="1"/>
                <c:pt idx="0">
                  <c:v>Komusubi</c:v>
                </c:pt>
              </c:strCache>
            </c:strRef>
          </c:tx>
          <c:spPr>
            <a:ln w="25400" cap="rnd">
              <a:noFill/>
              <a:round/>
            </a:ln>
            <a:effectLst/>
          </c:spPr>
          <c:marker>
            <c:symbol val="circle"/>
            <c:size val="6"/>
            <c:spPr>
              <a:solidFill>
                <a:schemeClr val="accent4"/>
              </a:solidFill>
              <a:ln w="9525">
                <a:solidFill>
                  <a:schemeClr val="accent4"/>
                </a:solidFill>
              </a:ln>
              <a:effectLst/>
            </c:spPr>
          </c:marker>
          <c:dLbls>
            <c:dLbl>
              <c:idx val="0"/>
              <c:layout>
                <c:manualLayout>
                  <c:x val="-0.11575641794516378"/>
                  <c:y val="-8.0733941454860583E-3"/>
                </c:manualLayout>
              </c:layout>
              <c:tx>
                <c:rich>
                  <a:bodyPr/>
                  <a:lstStyle/>
                  <a:p>
                    <a:fld id="{26203968-5B09-4D3E-B4DF-471A3A5C6B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A485-42A7-BF7D-0B686981A7EC}"/>
                </c:ext>
              </c:extLst>
            </c:dLbl>
            <c:dLbl>
              <c:idx val="1"/>
              <c:layout>
                <c:manualLayout>
                  <c:x val="-5.2749760076277172E-2"/>
                  <c:y val="-3.027522804557272E-2"/>
                </c:manualLayout>
              </c:layout>
              <c:tx>
                <c:rich>
                  <a:bodyPr/>
                  <a:lstStyle/>
                  <a:p>
                    <a:fld id="{A56D05B0-82FC-4F42-A66C-F5C8ACB709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D-A485-42A7-BF7D-0B686981A7EC}"/>
                </c:ext>
              </c:extLst>
            </c:dLbl>
            <c:dLbl>
              <c:idx val="2"/>
              <c:tx>
                <c:rich>
                  <a:bodyPr/>
                  <a:lstStyle/>
                  <a:p>
                    <a:fld id="{45F88FFC-0973-4E76-8FBB-35CB94136C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A485-42A7-BF7D-0B686981A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2022 Data'!$F$11:$F$13</c:f>
              <c:numCache>
                <c:formatCode>General</c:formatCode>
                <c:ptCount val="3"/>
                <c:pt idx="0">
                  <c:v>138</c:v>
                </c:pt>
                <c:pt idx="1">
                  <c:v>151</c:v>
                </c:pt>
                <c:pt idx="2">
                  <c:v>212</c:v>
                </c:pt>
              </c:numCache>
            </c:numRef>
          </c:xVal>
          <c:yVal>
            <c:numRef>
              <c:f>'September 2022 Data'!$E$11:$E$13</c:f>
              <c:numCache>
                <c:formatCode>General</c:formatCode>
                <c:ptCount val="3"/>
                <c:pt idx="0">
                  <c:v>185</c:v>
                </c:pt>
                <c:pt idx="1">
                  <c:v>187</c:v>
                </c:pt>
                <c:pt idx="2">
                  <c:v>190</c:v>
                </c:pt>
              </c:numCache>
            </c:numRef>
          </c:yVal>
          <c:smooth val="0"/>
          <c:extLst>
            <c:ext xmlns:c15="http://schemas.microsoft.com/office/drawing/2012/chart" uri="{02D57815-91ED-43cb-92C2-25804820EDAC}">
              <c15:datalabelsRange>
                <c15:f>'September 2022 Data'!$A$11:$A$13</c15:f>
                <c15:dlblRangeCache>
                  <c:ptCount val="3"/>
                  <c:pt idx="0">
                    <c:v>Kiribayama</c:v>
                  </c:pt>
                  <c:pt idx="1">
                    <c:v>Abi</c:v>
                  </c:pt>
                  <c:pt idx="2">
                    <c:v>Ichinojo</c:v>
                  </c:pt>
                </c15:dlblRangeCache>
              </c15:datalabelsRange>
            </c:ext>
            <c:ext xmlns:c16="http://schemas.microsoft.com/office/drawing/2014/chart" uri="{C3380CC4-5D6E-409C-BE32-E72D297353CC}">
              <c16:uniqueId val="{00000030-A485-42A7-BF7D-0B686981A7EC}"/>
            </c:ext>
          </c:extLst>
        </c:ser>
        <c:ser>
          <c:idx val="4"/>
          <c:order val="4"/>
          <c:tx>
            <c:v>M01-04</c:v>
          </c:tx>
          <c:spPr>
            <a:ln w="25400" cap="rnd">
              <a:noFill/>
              <a:round/>
            </a:ln>
            <a:effectLst/>
          </c:spPr>
          <c:marker>
            <c:symbol val="circle"/>
            <c:size val="5"/>
            <c:spPr>
              <a:solidFill>
                <a:schemeClr val="accent1">
                  <a:alpha val="73000"/>
                </a:schemeClr>
              </a:solidFill>
              <a:ln w="9525">
                <a:noFill/>
              </a:ln>
              <a:effectLst/>
            </c:spPr>
          </c:marker>
          <c:xVal>
            <c:numRef>
              <c:f>'September 2022 Data'!$F$14:$F$21</c:f>
              <c:numCache>
                <c:formatCode>General</c:formatCode>
                <c:ptCount val="8"/>
                <c:pt idx="0">
                  <c:v>114</c:v>
                </c:pt>
                <c:pt idx="1">
                  <c:v>133</c:v>
                </c:pt>
                <c:pt idx="2">
                  <c:v>153</c:v>
                </c:pt>
                <c:pt idx="3">
                  <c:v>167</c:v>
                </c:pt>
                <c:pt idx="4">
                  <c:v>151</c:v>
                </c:pt>
                <c:pt idx="5">
                  <c:v>174</c:v>
                </c:pt>
                <c:pt idx="6">
                  <c:v>170</c:v>
                </c:pt>
                <c:pt idx="7">
                  <c:v>182</c:v>
                </c:pt>
              </c:numCache>
            </c:numRef>
          </c:xVal>
          <c:yVal>
            <c:numRef>
              <c:f>'September 2022 Data'!$E$14:$E$21</c:f>
              <c:numCache>
                <c:formatCode>General</c:formatCode>
                <c:ptCount val="8"/>
                <c:pt idx="0">
                  <c:v>171</c:v>
                </c:pt>
                <c:pt idx="1">
                  <c:v>174</c:v>
                </c:pt>
                <c:pt idx="2">
                  <c:v>180</c:v>
                </c:pt>
                <c:pt idx="3">
                  <c:v>189</c:v>
                </c:pt>
                <c:pt idx="4">
                  <c:v>175</c:v>
                </c:pt>
                <c:pt idx="5">
                  <c:v>189</c:v>
                </c:pt>
                <c:pt idx="6">
                  <c:v>184</c:v>
                </c:pt>
                <c:pt idx="7">
                  <c:v>186</c:v>
                </c:pt>
              </c:numCache>
            </c:numRef>
          </c:yVal>
          <c:smooth val="0"/>
          <c:extLst>
            <c:ext xmlns:c16="http://schemas.microsoft.com/office/drawing/2014/chart" uri="{C3380CC4-5D6E-409C-BE32-E72D297353CC}">
              <c16:uniqueId val="{00000031-A485-42A7-BF7D-0B686981A7EC}"/>
            </c:ext>
          </c:extLst>
        </c:ser>
        <c:ser>
          <c:idx val="5"/>
          <c:order val="5"/>
          <c:tx>
            <c:v>M05-08</c:v>
          </c:tx>
          <c:spPr>
            <a:ln w="25400" cap="rnd">
              <a:noFill/>
              <a:round/>
            </a:ln>
            <a:effectLst/>
          </c:spPr>
          <c:marker>
            <c:symbol val="circle"/>
            <c:size val="5"/>
            <c:spPr>
              <a:solidFill>
                <a:schemeClr val="accent2">
                  <a:alpha val="76000"/>
                </a:schemeClr>
              </a:solidFill>
              <a:ln w="9525">
                <a:noFill/>
              </a:ln>
              <a:effectLst/>
            </c:spPr>
          </c:marker>
          <c:xVal>
            <c:numRef>
              <c:f>'September 2022 Data'!$F$23:$F$29</c:f>
              <c:numCache>
                <c:formatCode>General</c:formatCode>
                <c:ptCount val="7"/>
                <c:pt idx="0">
                  <c:v>166</c:v>
                </c:pt>
                <c:pt idx="1">
                  <c:v>149</c:v>
                </c:pt>
                <c:pt idx="2">
                  <c:v>135</c:v>
                </c:pt>
                <c:pt idx="3">
                  <c:v>162</c:v>
                </c:pt>
                <c:pt idx="4">
                  <c:v>186</c:v>
                </c:pt>
                <c:pt idx="5">
                  <c:v>161</c:v>
                </c:pt>
                <c:pt idx="6">
                  <c:v>179</c:v>
                </c:pt>
              </c:numCache>
            </c:numRef>
          </c:xVal>
          <c:yVal>
            <c:numRef>
              <c:f>'September 2022 Data'!$E$23:$E$29</c:f>
              <c:numCache>
                <c:formatCode>General</c:formatCode>
                <c:ptCount val="7"/>
                <c:pt idx="0">
                  <c:v>186</c:v>
                </c:pt>
                <c:pt idx="1">
                  <c:v>183</c:v>
                </c:pt>
                <c:pt idx="2">
                  <c:v>186</c:v>
                </c:pt>
                <c:pt idx="3">
                  <c:v>178</c:v>
                </c:pt>
                <c:pt idx="4">
                  <c:v>190</c:v>
                </c:pt>
                <c:pt idx="5">
                  <c:v>184</c:v>
                </c:pt>
                <c:pt idx="6">
                  <c:v>192</c:v>
                </c:pt>
              </c:numCache>
            </c:numRef>
          </c:yVal>
          <c:smooth val="0"/>
          <c:extLst>
            <c:ext xmlns:c16="http://schemas.microsoft.com/office/drawing/2014/chart" uri="{C3380CC4-5D6E-409C-BE32-E72D297353CC}">
              <c16:uniqueId val="{00000032-A485-42A7-BF7D-0B686981A7EC}"/>
            </c:ext>
          </c:extLst>
        </c:ser>
        <c:ser>
          <c:idx val="6"/>
          <c:order val="6"/>
          <c:tx>
            <c:v>M09-12</c:v>
          </c:tx>
          <c:spPr>
            <a:ln w="25400" cap="rnd">
              <a:noFill/>
              <a:round/>
            </a:ln>
            <a:effectLst/>
          </c:spPr>
          <c:marker>
            <c:symbol val="circle"/>
            <c:size val="5"/>
            <c:spPr>
              <a:solidFill>
                <a:schemeClr val="accent3">
                  <a:alpha val="57000"/>
                </a:schemeClr>
              </a:solidFill>
              <a:ln w="9525">
                <a:noFill/>
              </a:ln>
              <a:effectLst/>
            </c:spPr>
          </c:marker>
          <c:xVal>
            <c:numRef>
              <c:f>'September 2022 Data'!$F$30:$F$37</c:f>
              <c:numCache>
                <c:formatCode>General</c:formatCode>
                <c:ptCount val="8"/>
                <c:pt idx="0">
                  <c:v>131</c:v>
                </c:pt>
                <c:pt idx="1">
                  <c:v>154</c:v>
                </c:pt>
                <c:pt idx="2">
                  <c:v>148</c:v>
                </c:pt>
                <c:pt idx="3">
                  <c:v>167</c:v>
                </c:pt>
                <c:pt idx="4">
                  <c:v>189</c:v>
                </c:pt>
                <c:pt idx="5">
                  <c:v>158</c:v>
                </c:pt>
                <c:pt idx="6">
                  <c:v>154</c:v>
                </c:pt>
                <c:pt idx="7">
                  <c:v>156</c:v>
                </c:pt>
              </c:numCache>
            </c:numRef>
          </c:xVal>
          <c:yVal>
            <c:numRef>
              <c:f>'September 2022 Data'!$E$30:$E$37</c:f>
              <c:numCache>
                <c:formatCode>General</c:formatCode>
                <c:ptCount val="8"/>
                <c:pt idx="0">
                  <c:v>176</c:v>
                </c:pt>
                <c:pt idx="1">
                  <c:v>189</c:v>
                </c:pt>
                <c:pt idx="2">
                  <c:v>184</c:v>
                </c:pt>
                <c:pt idx="3">
                  <c:v>184</c:v>
                </c:pt>
                <c:pt idx="4">
                  <c:v>181</c:v>
                </c:pt>
                <c:pt idx="5">
                  <c:v>189</c:v>
                </c:pt>
                <c:pt idx="6">
                  <c:v>187</c:v>
                </c:pt>
                <c:pt idx="7">
                  <c:v>189</c:v>
                </c:pt>
              </c:numCache>
            </c:numRef>
          </c:yVal>
          <c:smooth val="0"/>
          <c:extLst>
            <c:ext xmlns:c16="http://schemas.microsoft.com/office/drawing/2014/chart" uri="{C3380CC4-5D6E-409C-BE32-E72D297353CC}">
              <c16:uniqueId val="{00000033-A485-42A7-BF7D-0B686981A7EC}"/>
            </c:ext>
          </c:extLst>
        </c:ser>
        <c:ser>
          <c:idx val="7"/>
          <c:order val="7"/>
          <c:tx>
            <c:v>M13-16</c:v>
          </c:tx>
          <c:spPr>
            <a:ln w="25400" cap="rnd">
              <a:noFill/>
              <a:round/>
            </a:ln>
            <a:effectLst/>
          </c:spPr>
          <c:marker>
            <c:symbol val="circle"/>
            <c:size val="5"/>
            <c:spPr>
              <a:solidFill>
                <a:schemeClr val="accent4">
                  <a:alpha val="48000"/>
                </a:schemeClr>
              </a:solidFill>
              <a:ln w="9525">
                <a:noFill/>
              </a:ln>
              <a:effectLst/>
            </c:spPr>
          </c:marker>
          <c:xVal>
            <c:numRef>
              <c:f>'September 2022 Data'!$F$38:$F$45</c:f>
              <c:numCache>
                <c:formatCode>General</c:formatCode>
                <c:ptCount val="8"/>
                <c:pt idx="0">
                  <c:v>145</c:v>
                </c:pt>
                <c:pt idx="1">
                  <c:v>176</c:v>
                </c:pt>
                <c:pt idx="2">
                  <c:v>135</c:v>
                </c:pt>
                <c:pt idx="3">
                  <c:v>181</c:v>
                </c:pt>
                <c:pt idx="4">
                  <c:v>107</c:v>
                </c:pt>
                <c:pt idx="5">
                  <c:v>200</c:v>
                </c:pt>
                <c:pt idx="6">
                  <c:v>135</c:v>
                </c:pt>
                <c:pt idx="7">
                  <c:v>197</c:v>
                </c:pt>
              </c:numCache>
            </c:numRef>
          </c:xVal>
          <c:yVal>
            <c:numRef>
              <c:f>'September 2022 Data'!$E$38:$E$45</c:f>
              <c:numCache>
                <c:formatCode>General</c:formatCode>
                <c:ptCount val="8"/>
                <c:pt idx="0">
                  <c:v>187</c:v>
                </c:pt>
                <c:pt idx="1">
                  <c:v>189</c:v>
                </c:pt>
                <c:pt idx="2">
                  <c:v>183</c:v>
                </c:pt>
                <c:pt idx="3">
                  <c:v>185</c:v>
                </c:pt>
                <c:pt idx="4">
                  <c:v>169</c:v>
                </c:pt>
                <c:pt idx="5">
                  <c:v>184</c:v>
                </c:pt>
                <c:pt idx="6">
                  <c:v>178</c:v>
                </c:pt>
                <c:pt idx="7">
                  <c:v>190</c:v>
                </c:pt>
              </c:numCache>
            </c:numRef>
          </c:yVal>
          <c:smooth val="0"/>
          <c:extLst>
            <c:ext xmlns:c16="http://schemas.microsoft.com/office/drawing/2014/chart" uri="{C3380CC4-5D6E-409C-BE32-E72D297353CC}">
              <c16:uniqueId val="{00000034-A485-42A7-BF7D-0B686981A7EC}"/>
            </c:ext>
          </c:extLst>
        </c:ser>
        <c:dLbls>
          <c:showLegendKey val="0"/>
          <c:showVal val="0"/>
          <c:showCatName val="0"/>
          <c:showSerName val="0"/>
          <c:showPercent val="0"/>
          <c:showBubbleSize val="0"/>
        </c:dLbls>
        <c:axId val="745971600"/>
        <c:axId val="745971928"/>
      </c:scatterChart>
      <c:valAx>
        <c:axId val="745971600"/>
        <c:scaling>
          <c:orientation val="minMax"/>
          <c:max val="22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November 2022 Makuuchi Wrestlers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72178186362232E-2"/>
          <c:y val="7.6969294470663738E-2"/>
          <c:w val="0.81188907136193378"/>
          <c:h val="0.85594431898299383"/>
        </c:manualLayout>
      </c:layout>
      <c:scatterChart>
        <c:scatterStyle val="lineMarker"/>
        <c:varyColors val="0"/>
        <c:ser>
          <c:idx val="0"/>
          <c:order val="0"/>
          <c:tx>
            <c:strRef>
              <c:f>'September 2022 Data'!$C$4</c:f>
              <c:strCache>
                <c:ptCount val="1"/>
                <c:pt idx="0">
                  <c:v>Yokozuna</c:v>
                </c:pt>
              </c:strCache>
            </c:strRef>
          </c:tx>
          <c:spPr>
            <a:ln w="25400" cap="rnd">
              <a:noFill/>
              <a:round/>
            </a:ln>
            <a:effectLst/>
          </c:spPr>
          <c:marker>
            <c:symbol val="circle"/>
            <c:size val="13"/>
            <c:spPr>
              <a:solidFill>
                <a:schemeClr val="accent1"/>
              </a:solidFill>
              <a:ln w="9525">
                <a:solidFill>
                  <a:schemeClr val="accent1"/>
                </a:solidFill>
              </a:ln>
              <a:effectLst/>
            </c:spPr>
          </c:marker>
          <c:dLbls>
            <c:dLbl>
              <c:idx val="0"/>
              <c:tx>
                <c:rich>
                  <a:bodyPr/>
                  <a:lstStyle/>
                  <a:p>
                    <a:fld id="{60B33F9A-716E-47FB-998D-257120A1D6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Data'!$H$4</c:f>
              <c:numCache>
                <c:formatCode>General</c:formatCode>
                <c:ptCount val="1"/>
                <c:pt idx="0">
                  <c:v>181</c:v>
                </c:pt>
              </c:numCache>
            </c:numRef>
          </c:xVal>
          <c:yVal>
            <c:numRef>
              <c:f>'November 2022 Data'!$G$4</c:f>
              <c:numCache>
                <c:formatCode>General</c:formatCode>
                <c:ptCount val="1"/>
                <c:pt idx="0">
                  <c:v>192</c:v>
                </c:pt>
              </c:numCache>
            </c:numRef>
          </c:yVal>
          <c:smooth val="0"/>
          <c:extLst>
            <c:ext xmlns:c15="http://schemas.microsoft.com/office/drawing/2012/chart" uri="{02D57815-91ED-43cb-92C2-25804820EDAC}">
              <c15:datalabelsRange>
                <c15:f>'November 2022 Data'!$A$4</c15:f>
                <c15:dlblRangeCache>
                  <c:ptCount val="1"/>
                  <c:pt idx="0">
                    <c:v>Terunofuji</c:v>
                  </c:pt>
                </c15:dlblRangeCache>
              </c15:datalabelsRange>
            </c:ext>
            <c:ext xmlns:c16="http://schemas.microsoft.com/office/drawing/2014/chart" uri="{C3380CC4-5D6E-409C-BE32-E72D297353CC}">
              <c16:uniqueId val="{00000001-B2B1-499D-A3F4-C6E47E426E27}"/>
            </c:ext>
          </c:extLst>
        </c:ser>
        <c:ser>
          <c:idx val="1"/>
          <c:order val="1"/>
          <c:tx>
            <c:strRef>
              <c:f>'September 2022 Data'!$C$5</c:f>
              <c:strCache>
                <c:ptCount val="1"/>
                <c:pt idx="0">
                  <c:v>Ozeki</c:v>
                </c:pt>
              </c:strCache>
            </c:strRef>
          </c:tx>
          <c:spPr>
            <a:ln w="25400" cap="rnd">
              <a:noFill/>
              <a:round/>
            </a:ln>
            <a:effectLst/>
          </c:spPr>
          <c:marker>
            <c:symbol val="circle"/>
            <c:size val="11"/>
            <c:spPr>
              <a:solidFill>
                <a:schemeClr val="accent2"/>
              </a:solidFill>
              <a:ln w="9525">
                <a:solidFill>
                  <a:schemeClr val="accent2"/>
                </a:solidFill>
              </a:ln>
              <a:effectLst/>
            </c:spPr>
          </c:marker>
          <c:dLbls>
            <c:dLbl>
              <c:idx val="0"/>
              <c:tx>
                <c:rich>
                  <a:bodyPr/>
                  <a:lstStyle/>
                  <a:p>
                    <a:fld id="{CDEA584F-0359-446E-8BE2-3B679531C6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2B1-499D-A3F4-C6E47E426E27}"/>
                </c:ext>
              </c:extLst>
            </c:dLbl>
            <c:dLbl>
              <c:idx val="1"/>
              <c:tx>
                <c:rich>
                  <a:bodyPr/>
                  <a:lstStyle/>
                  <a:p>
                    <a:fld id="{AE6147B3-E3D4-430C-B80C-759E618140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Data'!$H$5:$H$6</c:f>
              <c:numCache>
                <c:formatCode>General</c:formatCode>
                <c:ptCount val="2"/>
                <c:pt idx="0">
                  <c:v>163</c:v>
                </c:pt>
                <c:pt idx="1">
                  <c:v>162</c:v>
                </c:pt>
              </c:numCache>
            </c:numRef>
          </c:xVal>
          <c:yVal>
            <c:numRef>
              <c:f>'November 2022 Data'!$G$5:$G$6</c:f>
              <c:numCache>
                <c:formatCode>General</c:formatCode>
                <c:ptCount val="2"/>
                <c:pt idx="0">
                  <c:v>175</c:v>
                </c:pt>
                <c:pt idx="1">
                  <c:v>183</c:v>
                </c:pt>
              </c:numCache>
            </c:numRef>
          </c:yVal>
          <c:smooth val="0"/>
          <c:extLst>
            <c:ext xmlns:c15="http://schemas.microsoft.com/office/drawing/2012/chart" uri="{02D57815-91ED-43cb-92C2-25804820EDAC}">
              <c15:datalabelsRange>
                <c15:f>'November 2022 Data'!$A$5:$A$6</c15:f>
                <c15:dlblRangeCache>
                  <c:ptCount val="2"/>
                  <c:pt idx="0">
                    <c:v>Takakeisho</c:v>
                  </c:pt>
                  <c:pt idx="1">
                    <c:v>Shodai</c:v>
                  </c:pt>
                </c15:dlblRangeCache>
              </c15:datalabelsRange>
            </c:ext>
            <c:ext xmlns:c16="http://schemas.microsoft.com/office/drawing/2014/chart" uri="{C3380CC4-5D6E-409C-BE32-E72D297353CC}">
              <c16:uniqueId val="{00000005-B2B1-499D-A3F4-C6E47E426E27}"/>
            </c:ext>
          </c:extLst>
        </c:ser>
        <c:ser>
          <c:idx val="2"/>
          <c:order val="2"/>
          <c:tx>
            <c:strRef>
              <c:f>'September 2022 Data'!$C$8</c:f>
              <c:strCache>
                <c:ptCount val="1"/>
                <c:pt idx="0">
                  <c:v>Sekiwake</c:v>
                </c:pt>
              </c:strCache>
            </c:strRef>
          </c:tx>
          <c:spPr>
            <a:ln w="25400" cap="rnd">
              <a:noFill/>
              <a:round/>
            </a:ln>
            <a:effectLst/>
          </c:spPr>
          <c:marker>
            <c:symbol val="circle"/>
            <c:size val="9"/>
            <c:spPr>
              <a:solidFill>
                <a:schemeClr val="accent3"/>
              </a:solidFill>
              <a:ln w="9525">
                <a:solidFill>
                  <a:schemeClr val="accent3"/>
                </a:solidFill>
              </a:ln>
              <a:effectLst/>
            </c:spPr>
          </c:marker>
          <c:dLbls>
            <c:dLbl>
              <c:idx val="0"/>
              <c:tx>
                <c:rich>
                  <a:bodyPr/>
                  <a:lstStyle/>
                  <a:p>
                    <a:fld id="{3841E18D-8383-4D53-8B51-4CC8EBA7A0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2B1-499D-A3F4-C6E47E426E27}"/>
                </c:ext>
              </c:extLst>
            </c:dLbl>
            <c:dLbl>
              <c:idx val="1"/>
              <c:layout>
                <c:manualLayout>
                  <c:x val="-5.2768396024273002E-2"/>
                  <c:y val="5.0493098905404959E-2"/>
                </c:manualLayout>
              </c:layout>
              <c:tx>
                <c:rich>
                  <a:bodyPr/>
                  <a:lstStyle/>
                  <a:p>
                    <a:fld id="{F21D815C-6E3F-40BE-B731-2660796E5D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2B1-499D-A3F4-C6E47E426E27}"/>
                </c:ext>
              </c:extLst>
            </c:dLbl>
            <c:dLbl>
              <c:idx val="2"/>
              <c:tx>
                <c:rich>
                  <a:bodyPr/>
                  <a:lstStyle/>
                  <a:p>
                    <a:fld id="{9A41F318-5B03-4916-B5F1-AC9AE1F622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Data'!$H$7:$H$9</c:f>
              <c:numCache>
                <c:formatCode>General</c:formatCode>
                <c:ptCount val="3"/>
                <c:pt idx="0">
                  <c:v>171</c:v>
                </c:pt>
                <c:pt idx="1">
                  <c:v>132</c:v>
                </c:pt>
                <c:pt idx="2">
                  <c:v>140</c:v>
                </c:pt>
              </c:numCache>
            </c:numRef>
          </c:xVal>
          <c:yVal>
            <c:numRef>
              <c:f>'November 2022 Data'!$G$7:$G$9</c:f>
              <c:numCache>
                <c:formatCode>General</c:formatCode>
                <c:ptCount val="3"/>
                <c:pt idx="0">
                  <c:v>179</c:v>
                </c:pt>
                <c:pt idx="1">
                  <c:v>183</c:v>
                </c:pt>
                <c:pt idx="2">
                  <c:v>185</c:v>
                </c:pt>
              </c:numCache>
            </c:numRef>
          </c:yVal>
          <c:smooth val="0"/>
          <c:extLst>
            <c:ext xmlns:c15="http://schemas.microsoft.com/office/drawing/2012/chart" uri="{02D57815-91ED-43cb-92C2-25804820EDAC}">
              <c15:datalabelsRange>
                <c15:f>'November 2022 Data'!$A$7:$A$9</c15:f>
                <c15:dlblRangeCache>
                  <c:ptCount val="3"/>
                  <c:pt idx="0">
                    <c:v>Mitakeumi</c:v>
                  </c:pt>
                  <c:pt idx="1">
                    <c:v>Wakatakakage</c:v>
                  </c:pt>
                  <c:pt idx="2">
                    <c:v>Hoshoryu</c:v>
                  </c:pt>
                </c15:dlblRangeCache>
              </c15:datalabelsRange>
            </c:ext>
            <c:ext xmlns:c16="http://schemas.microsoft.com/office/drawing/2014/chart" uri="{C3380CC4-5D6E-409C-BE32-E72D297353CC}">
              <c16:uniqueId val="{00000009-B2B1-499D-A3F4-C6E47E426E27}"/>
            </c:ext>
          </c:extLst>
        </c:ser>
        <c:ser>
          <c:idx val="3"/>
          <c:order val="3"/>
          <c:tx>
            <c:strRef>
              <c:f>'September 2022 Data'!$C$11</c:f>
              <c:strCache>
                <c:ptCount val="1"/>
                <c:pt idx="0">
                  <c:v>Komusubi</c:v>
                </c:pt>
              </c:strCache>
            </c:strRef>
          </c:tx>
          <c:spPr>
            <a:ln w="25400" cap="rnd">
              <a:noFill/>
              <a:round/>
            </a:ln>
            <a:effectLst/>
          </c:spPr>
          <c:marker>
            <c:symbol val="circle"/>
            <c:size val="6"/>
            <c:spPr>
              <a:solidFill>
                <a:schemeClr val="accent4"/>
              </a:solidFill>
              <a:ln w="9525">
                <a:solidFill>
                  <a:schemeClr val="accent4"/>
                </a:solidFill>
              </a:ln>
              <a:effectLst/>
            </c:spPr>
          </c:marker>
          <c:dLbls>
            <c:dLbl>
              <c:idx val="0"/>
              <c:tx>
                <c:rich>
                  <a:bodyPr/>
                  <a:lstStyle/>
                  <a:p>
                    <a:fld id="{1BD87575-E62B-4FA4-895C-E17D55B797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2B1-499D-A3F4-C6E47E426E27}"/>
                </c:ext>
              </c:extLst>
            </c:dLbl>
            <c:dLbl>
              <c:idx val="1"/>
              <c:layout>
                <c:manualLayout>
                  <c:x val="-0.10846836960545009"/>
                  <c:y val="-2.019644439525012E-3"/>
                </c:manualLayout>
              </c:layout>
              <c:tx>
                <c:rich>
                  <a:bodyPr/>
                  <a:lstStyle/>
                  <a:p>
                    <a:fld id="{58464BA0-F0E0-44A3-B30A-E1DFB05B4B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layout>
                    <c:manualLayout>
                      <c:w val="7.6030463938306675E-2"/>
                      <c:h val="2.8245919044374762E-2"/>
                    </c:manualLayout>
                  </c15:layout>
                  <c15:dlblFieldTable/>
                  <c15:showDataLabelsRange val="1"/>
                </c:ext>
                <c:ext xmlns:c16="http://schemas.microsoft.com/office/drawing/2014/chart" uri="{C3380CC4-5D6E-409C-BE32-E72D297353CC}">
                  <c16:uniqueId val="{0000000B-B2B1-499D-A3F4-C6E47E426E27}"/>
                </c:ext>
              </c:extLst>
            </c:dLbl>
            <c:dLbl>
              <c:idx val="2"/>
              <c:tx>
                <c:rich>
                  <a:bodyPr/>
                  <a:lstStyle/>
                  <a:p>
                    <a:fld id="{C0B5B6E2-4608-4297-BBA6-8AF7973CE8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2B1-499D-A3F4-C6E47E426E27}"/>
                </c:ext>
              </c:extLst>
            </c:dLbl>
            <c:dLbl>
              <c:idx val="3"/>
              <c:layout>
                <c:manualLayout>
                  <c:x val="-1.7589465341424332E-2"/>
                  <c:y val="3.2315583299459189E-2"/>
                </c:manualLayout>
              </c:layout>
              <c:tx>
                <c:rich>
                  <a:bodyPr/>
                  <a:lstStyle/>
                  <a:p>
                    <a:fld id="{52B951FC-F32D-4404-8EC2-9CF8E1520A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Data'!$H$10:$H$13</c:f>
              <c:numCache>
                <c:formatCode>General</c:formatCode>
                <c:ptCount val="4"/>
                <c:pt idx="0">
                  <c:v>161</c:v>
                </c:pt>
                <c:pt idx="1">
                  <c:v>138</c:v>
                </c:pt>
                <c:pt idx="2">
                  <c:v>133</c:v>
                </c:pt>
                <c:pt idx="3">
                  <c:v>174</c:v>
                </c:pt>
              </c:numCache>
            </c:numRef>
          </c:xVal>
          <c:yVal>
            <c:numRef>
              <c:f>'November 2022 Data'!$G$10:$G$13</c:f>
              <c:numCache>
                <c:formatCode>General</c:formatCode>
                <c:ptCount val="4"/>
                <c:pt idx="0">
                  <c:v>182</c:v>
                </c:pt>
                <c:pt idx="1">
                  <c:v>185</c:v>
                </c:pt>
                <c:pt idx="2">
                  <c:v>174</c:v>
                </c:pt>
                <c:pt idx="3">
                  <c:v>189</c:v>
                </c:pt>
              </c:numCache>
            </c:numRef>
          </c:yVal>
          <c:smooth val="0"/>
          <c:extLst>
            <c:ext xmlns:c15="http://schemas.microsoft.com/office/drawing/2012/chart" uri="{02D57815-91ED-43cb-92C2-25804820EDAC}">
              <c15:datalabelsRange>
                <c15:f>'November 2022 Data'!$A$10:$A$13</c15:f>
                <c15:dlblRangeCache>
                  <c:ptCount val="4"/>
                  <c:pt idx="0">
                    <c:v>Daieisho</c:v>
                  </c:pt>
                  <c:pt idx="1">
                    <c:v>Kiribayama</c:v>
                  </c:pt>
                  <c:pt idx="2">
                    <c:v>Tobizaru</c:v>
                  </c:pt>
                  <c:pt idx="3">
                    <c:v>Tamawashi</c:v>
                  </c:pt>
                </c15:dlblRangeCache>
              </c15:datalabelsRange>
            </c:ext>
            <c:ext xmlns:c16="http://schemas.microsoft.com/office/drawing/2014/chart" uri="{C3380CC4-5D6E-409C-BE32-E72D297353CC}">
              <c16:uniqueId val="{0000000D-B2B1-499D-A3F4-C6E47E426E27}"/>
            </c:ext>
          </c:extLst>
        </c:ser>
        <c:ser>
          <c:idx val="4"/>
          <c:order val="4"/>
          <c:tx>
            <c:v>M01-04</c:v>
          </c:tx>
          <c:spPr>
            <a:ln w="25400" cap="rnd">
              <a:noFill/>
              <a:round/>
            </a:ln>
            <a:effectLst/>
          </c:spPr>
          <c:marker>
            <c:symbol val="circle"/>
            <c:size val="5"/>
            <c:spPr>
              <a:solidFill>
                <a:schemeClr val="accent1">
                  <a:alpha val="73000"/>
                </a:schemeClr>
              </a:solidFill>
              <a:ln w="9525">
                <a:noFill/>
              </a:ln>
              <a:effectLst/>
            </c:spPr>
          </c:marker>
          <c:dLbls>
            <c:dLbl>
              <c:idx val="0"/>
              <c:layout>
                <c:manualLayout>
                  <c:x val="-2.3452620455232498E-2"/>
                  <c:y val="-3.0295859343243057E-2"/>
                </c:manualLayout>
              </c:layout>
              <c:tx>
                <c:rich>
                  <a:bodyPr/>
                  <a:lstStyle/>
                  <a:p>
                    <a:fld id="{94B6E4A2-9139-4E53-ACAD-F173387B55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B2B1-499D-A3F4-C6E47E426E27}"/>
                </c:ext>
              </c:extLst>
            </c:dLbl>
            <c:dLbl>
              <c:idx val="1"/>
              <c:tx>
                <c:rich>
                  <a:bodyPr/>
                  <a:lstStyle/>
                  <a:p>
                    <a:fld id="{7BE41D00-79AC-4662-8763-5900249C8F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2B1-499D-A3F4-C6E47E426E27}"/>
                </c:ext>
              </c:extLst>
            </c:dLbl>
            <c:dLbl>
              <c:idx val="2"/>
              <c:tx>
                <c:rich>
                  <a:bodyPr/>
                  <a:lstStyle/>
                  <a:p>
                    <a:fld id="{44C01526-49DA-4CBB-BB10-3E337B377F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2B1-499D-A3F4-C6E47E426E27}"/>
                </c:ext>
              </c:extLst>
            </c:dLbl>
            <c:dLbl>
              <c:idx val="3"/>
              <c:tx>
                <c:rich>
                  <a:bodyPr/>
                  <a:lstStyle/>
                  <a:p>
                    <a:fld id="{98DA85D5-71C8-48A6-829A-A7BFDD77DF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2B1-499D-A3F4-C6E47E426E27}"/>
                </c:ext>
              </c:extLst>
            </c:dLbl>
            <c:dLbl>
              <c:idx val="4"/>
              <c:tx>
                <c:rich>
                  <a:bodyPr/>
                  <a:lstStyle/>
                  <a:p>
                    <a:fld id="{32EDCFFD-65E7-4178-9E7F-0FB7532322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2B1-499D-A3F4-C6E47E426E27}"/>
                </c:ext>
              </c:extLst>
            </c:dLbl>
            <c:dLbl>
              <c:idx val="5"/>
              <c:tx>
                <c:rich>
                  <a:bodyPr/>
                  <a:lstStyle/>
                  <a:p>
                    <a:fld id="{2EA5BBFE-1C11-44B8-8DB2-5843B2A3C0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2B1-499D-A3F4-C6E47E426E27}"/>
                </c:ext>
              </c:extLst>
            </c:dLbl>
            <c:dLbl>
              <c:idx val="6"/>
              <c:tx>
                <c:rich>
                  <a:bodyPr/>
                  <a:lstStyle/>
                  <a:p>
                    <a:fld id="{72E4B8F5-B55B-4016-B2B6-B4900AC013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2B1-499D-A3F4-C6E47E426E27}"/>
                </c:ext>
              </c:extLst>
            </c:dLbl>
            <c:dLbl>
              <c:idx val="7"/>
              <c:tx>
                <c:rich>
                  <a:bodyPr/>
                  <a:lstStyle/>
                  <a:p>
                    <a:fld id="{3A0EF7D6-9F36-4E2E-ADD1-EDC7877CED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Data'!$H$14:$H$21</c:f>
              <c:numCache>
                <c:formatCode>General</c:formatCode>
                <c:ptCount val="8"/>
                <c:pt idx="0">
                  <c:v>167</c:v>
                </c:pt>
                <c:pt idx="1">
                  <c:v>182</c:v>
                </c:pt>
                <c:pt idx="2">
                  <c:v>212</c:v>
                </c:pt>
                <c:pt idx="3">
                  <c:v>153</c:v>
                </c:pt>
                <c:pt idx="4">
                  <c:v>114</c:v>
                </c:pt>
                <c:pt idx="5">
                  <c:v>151</c:v>
                </c:pt>
                <c:pt idx="6">
                  <c:v>141</c:v>
                </c:pt>
                <c:pt idx="7">
                  <c:v>135</c:v>
                </c:pt>
              </c:numCache>
            </c:numRef>
          </c:xVal>
          <c:yVal>
            <c:numRef>
              <c:f>'November 2022 Data'!$G$14:$G$21</c:f>
              <c:numCache>
                <c:formatCode>General</c:formatCode>
                <c:ptCount val="8"/>
                <c:pt idx="0">
                  <c:v>189</c:v>
                </c:pt>
                <c:pt idx="1">
                  <c:v>186</c:v>
                </c:pt>
                <c:pt idx="2">
                  <c:v>190</c:v>
                </c:pt>
                <c:pt idx="3">
                  <c:v>180</c:v>
                </c:pt>
                <c:pt idx="4">
                  <c:v>171</c:v>
                </c:pt>
                <c:pt idx="5">
                  <c:v>175</c:v>
                </c:pt>
                <c:pt idx="6">
                  <c:v>182</c:v>
                </c:pt>
                <c:pt idx="7">
                  <c:v>186</c:v>
                </c:pt>
              </c:numCache>
            </c:numRef>
          </c:yVal>
          <c:smooth val="0"/>
          <c:extLst>
            <c:ext xmlns:c15="http://schemas.microsoft.com/office/drawing/2012/chart" uri="{02D57815-91ED-43cb-92C2-25804820EDAC}">
              <c15:datalabelsRange>
                <c15:f>'November 2022 Data'!$A$14:$A$21</c15:f>
                <c15:dlblRangeCache>
                  <c:ptCount val="8"/>
                  <c:pt idx="0">
                    <c:v>Kotonowaka</c:v>
                  </c:pt>
                  <c:pt idx="1">
                    <c:v>Takayasu</c:v>
                  </c:pt>
                  <c:pt idx="2">
                    <c:v>Ichinojo</c:v>
                  </c:pt>
                  <c:pt idx="3">
                    <c:v>Meisei</c:v>
                  </c:pt>
                  <c:pt idx="4">
                    <c:v>Midorifuji</c:v>
                  </c:pt>
                  <c:pt idx="5">
                    <c:v>Ura</c:v>
                  </c:pt>
                  <c:pt idx="6">
                    <c:v>Sadanoumi</c:v>
                  </c:pt>
                  <c:pt idx="7">
                    <c:v>Wakamotoharu</c:v>
                  </c:pt>
                </c15:dlblRangeCache>
              </c15:datalabelsRange>
            </c:ext>
            <c:ext xmlns:c16="http://schemas.microsoft.com/office/drawing/2014/chart" uri="{C3380CC4-5D6E-409C-BE32-E72D297353CC}">
              <c16:uniqueId val="{0000000E-B2B1-499D-A3F4-C6E47E426E27}"/>
            </c:ext>
          </c:extLst>
        </c:ser>
        <c:ser>
          <c:idx val="5"/>
          <c:order val="5"/>
          <c:tx>
            <c:v>M05-08</c:v>
          </c:tx>
          <c:spPr>
            <a:ln w="25400" cap="rnd">
              <a:noFill/>
              <a:round/>
            </a:ln>
            <a:effectLst/>
          </c:spPr>
          <c:marker>
            <c:symbol val="circle"/>
            <c:size val="5"/>
            <c:spPr>
              <a:solidFill>
                <a:schemeClr val="accent2">
                  <a:alpha val="76000"/>
                </a:schemeClr>
              </a:solidFill>
              <a:ln w="9525">
                <a:noFill/>
              </a:ln>
              <a:effectLst/>
            </c:spPr>
          </c:marker>
          <c:dLbls>
            <c:dLbl>
              <c:idx val="0"/>
              <c:layout>
                <c:manualLayout>
                  <c:x val="-2.7849986790588529E-2"/>
                  <c:y val="-2.8276135387026894E-2"/>
                </c:manualLayout>
              </c:layout>
              <c:tx>
                <c:rich>
                  <a:bodyPr/>
                  <a:lstStyle/>
                  <a:p>
                    <a:fld id="{7B995D9D-FB51-4D1C-ADC7-0B5B6276AC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B2B1-499D-A3F4-C6E47E426E27}"/>
                </c:ext>
              </c:extLst>
            </c:dLbl>
            <c:dLbl>
              <c:idx val="1"/>
              <c:tx>
                <c:rich>
                  <a:bodyPr/>
                  <a:lstStyle/>
                  <a:p>
                    <a:fld id="{4947D5A4-97CE-4E0F-B16F-1170E107CB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B2B1-499D-A3F4-C6E47E426E27}"/>
                </c:ext>
              </c:extLst>
            </c:dLbl>
            <c:dLbl>
              <c:idx val="2"/>
              <c:layout>
                <c:manualLayout>
                  <c:x val="1.7589465341424332E-2"/>
                  <c:y val="4.443392703675636E-2"/>
                </c:manualLayout>
              </c:layout>
              <c:tx>
                <c:rich>
                  <a:bodyPr/>
                  <a:lstStyle/>
                  <a:p>
                    <a:fld id="{9377846D-F6C7-4B29-9738-E675920837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B2B1-499D-A3F4-C6E47E426E27}"/>
                </c:ext>
              </c:extLst>
            </c:dLbl>
            <c:dLbl>
              <c:idx val="3"/>
              <c:layout>
                <c:manualLayout>
                  <c:x val="1.4657887784519741E-3"/>
                  <c:y val="1.6157791649729612E-2"/>
                </c:manualLayout>
              </c:layout>
              <c:tx>
                <c:rich>
                  <a:bodyPr/>
                  <a:lstStyle/>
                  <a:p>
                    <a:fld id="{DCE6BB01-5132-4587-8A57-0709DBDD63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B2B1-499D-A3F4-C6E47E426E27}"/>
                </c:ext>
              </c:extLst>
            </c:dLbl>
            <c:dLbl>
              <c:idx val="4"/>
              <c:tx>
                <c:rich>
                  <a:bodyPr/>
                  <a:lstStyle/>
                  <a:p>
                    <a:fld id="{6BBC1F5E-ED57-4CEE-9266-B070D17668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B2B1-499D-A3F4-C6E47E426E27}"/>
                </c:ext>
              </c:extLst>
            </c:dLbl>
            <c:dLbl>
              <c:idx val="5"/>
              <c:layout>
                <c:manualLayout>
                  <c:x val="-8.2084171593313604E-2"/>
                  <c:y val="0"/>
                </c:manualLayout>
              </c:layout>
              <c:tx>
                <c:rich>
                  <a:bodyPr/>
                  <a:lstStyle/>
                  <a:p>
                    <a:fld id="{CE8CAA64-A796-4D25-BF25-4155A7235D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B2B1-499D-A3F4-C6E47E426E27}"/>
                </c:ext>
              </c:extLst>
            </c:dLbl>
            <c:dLbl>
              <c:idx val="6"/>
              <c:tx>
                <c:rich>
                  <a:bodyPr/>
                  <a:lstStyle/>
                  <a:p>
                    <a:fld id="{8A7C3F16-170C-4BD5-9D99-E2123598F7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B2B1-499D-A3F4-C6E47E426E27}"/>
                </c:ext>
              </c:extLst>
            </c:dLbl>
            <c:dLbl>
              <c:idx val="7"/>
              <c:layout>
                <c:manualLayout>
                  <c:x val="-4.1042085796656885E-2"/>
                  <c:y val="-4.0394479124324048E-2"/>
                </c:manualLayout>
              </c:layout>
              <c:tx>
                <c:rich>
                  <a:bodyPr/>
                  <a:lstStyle/>
                  <a:p>
                    <a:fld id="{15261C2D-B043-4F55-B532-3D4DC11115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Data'!$H$22:$H$29</c:f>
              <c:numCache>
                <c:formatCode>General</c:formatCode>
                <c:ptCount val="8"/>
                <c:pt idx="0">
                  <c:v>161</c:v>
                </c:pt>
                <c:pt idx="1">
                  <c:v>148</c:v>
                </c:pt>
                <c:pt idx="2">
                  <c:v>170</c:v>
                </c:pt>
                <c:pt idx="3">
                  <c:v>154</c:v>
                </c:pt>
                <c:pt idx="4">
                  <c:v>149</c:v>
                </c:pt>
                <c:pt idx="5">
                  <c:v>154</c:v>
                </c:pt>
                <c:pt idx="6">
                  <c:v>166</c:v>
                </c:pt>
                <c:pt idx="7">
                  <c:v>179</c:v>
                </c:pt>
              </c:numCache>
            </c:numRef>
          </c:xVal>
          <c:yVal>
            <c:numRef>
              <c:f>'November 2022 Data'!$G$22:$G$29</c:f>
              <c:numCache>
                <c:formatCode>General</c:formatCode>
                <c:ptCount val="8"/>
                <c:pt idx="0">
                  <c:v>184</c:v>
                </c:pt>
                <c:pt idx="1">
                  <c:v>184</c:v>
                </c:pt>
                <c:pt idx="2">
                  <c:v>184</c:v>
                </c:pt>
                <c:pt idx="3">
                  <c:v>187</c:v>
                </c:pt>
                <c:pt idx="4">
                  <c:v>183</c:v>
                </c:pt>
                <c:pt idx="5">
                  <c:v>189</c:v>
                </c:pt>
                <c:pt idx="6">
                  <c:v>186</c:v>
                </c:pt>
                <c:pt idx="7">
                  <c:v>192</c:v>
                </c:pt>
              </c:numCache>
            </c:numRef>
          </c:yVal>
          <c:smooth val="0"/>
          <c:extLst>
            <c:ext xmlns:c15="http://schemas.microsoft.com/office/drawing/2012/chart" uri="{02D57815-91ED-43cb-92C2-25804820EDAC}">
              <c15:datalabelsRange>
                <c15:f>'November 2022 Data'!$A$22:$A$29</c15:f>
                <c15:dlblRangeCache>
                  <c:ptCount val="8"/>
                  <c:pt idx="0">
                    <c:v>Hokutofuji</c:v>
                  </c:pt>
                  <c:pt idx="1">
                    <c:v>Nishikifuji</c:v>
                  </c:pt>
                  <c:pt idx="2">
                    <c:v>Nishikigi</c:v>
                  </c:pt>
                  <c:pt idx="3">
                    <c:v>Ryuden</c:v>
                  </c:pt>
                  <c:pt idx="4">
                    <c:v>Endo</c:v>
                  </c:pt>
                  <c:pt idx="5">
                    <c:v>Myogiryu</c:v>
                  </c:pt>
                  <c:pt idx="6">
                    <c:v>Takarafuji</c:v>
                  </c:pt>
                  <c:pt idx="7">
                    <c:v>Tochinoshin</c:v>
                  </c:pt>
                </c15:dlblRangeCache>
              </c15:datalabelsRange>
            </c:ext>
            <c:ext xmlns:c16="http://schemas.microsoft.com/office/drawing/2014/chart" uri="{C3380CC4-5D6E-409C-BE32-E72D297353CC}">
              <c16:uniqueId val="{0000000F-B2B1-499D-A3F4-C6E47E426E27}"/>
            </c:ext>
          </c:extLst>
        </c:ser>
        <c:ser>
          <c:idx val="6"/>
          <c:order val="6"/>
          <c:tx>
            <c:v>M09-12</c:v>
          </c:tx>
          <c:spPr>
            <a:ln w="25400" cap="rnd">
              <a:noFill/>
              <a:round/>
            </a:ln>
            <a:effectLst/>
          </c:spPr>
          <c:marker>
            <c:symbol val="circle"/>
            <c:size val="5"/>
            <c:spPr>
              <a:solidFill>
                <a:schemeClr val="accent3">
                  <a:alpha val="57000"/>
                </a:schemeClr>
              </a:solidFill>
              <a:ln w="9525">
                <a:noFill/>
              </a:ln>
              <a:effectLst/>
            </c:spPr>
          </c:marker>
          <c:dLbls>
            <c:dLbl>
              <c:idx val="0"/>
              <c:layout>
                <c:manualLayout>
                  <c:x val="-1.3192099006068304E-2"/>
                  <c:y val="3.2315583299459223E-2"/>
                </c:manualLayout>
              </c:layout>
              <c:tx>
                <c:rich>
                  <a:bodyPr/>
                  <a:lstStyle/>
                  <a:p>
                    <a:fld id="{9628174A-48BB-4A68-8F14-3E8D6A1A89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B2B1-499D-A3F4-C6E47E426E27}"/>
                </c:ext>
              </c:extLst>
            </c:dLbl>
            <c:dLbl>
              <c:idx val="1"/>
              <c:layout>
                <c:manualLayout>
                  <c:x val="-5.3744967676788177E-17"/>
                  <c:y val="-2.6256411430810693E-2"/>
                </c:manualLayout>
              </c:layout>
              <c:tx>
                <c:rich>
                  <a:bodyPr/>
                  <a:lstStyle/>
                  <a:p>
                    <a:fld id="{206C7E01-8218-45F2-A710-0F6BC227E7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B2B1-499D-A3F4-C6E47E426E27}"/>
                </c:ext>
              </c:extLst>
            </c:dLbl>
            <c:dLbl>
              <c:idx val="2"/>
              <c:tx>
                <c:rich>
                  <a:bodyPr/>
                  <a:lstStyle/>
                  <a:p>
                    <a:fld id="{2535EF31-B686-4CD7-9556-8B9F8D4DB9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2B1-499D-A3F4-C6E47E426E27}"/>
                </c:ext>
              </c:extLst>
            </c:dLbl>
            <c:dLbl>
              <c:idx val="3"/>
              <c:tx>
                <c:rich>
                  <a:bodyPr/>
                  <a:lstStyle/>
                  <a:p>
                    <a:fld id="{50FCB8CB-677B-4CE4-9E4F-BFEBF757B7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2B1-499D-A3F4-C6E47E426E27}"/>
                </c:ext>
              </c:extLst>
            </c:dLbl>
            <c:dLbl>
              <c:idx val="4"/>
              <c:tx>
                <c:rich>
                  <a:bodyPr/>
                  <a:lstStyle/>
                  <a:p>
                    <a:fld id="{168D66EF-F7DB-4F52-9E84-C5820ECA0B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2B1-499D-A3F4-C6E47E426E27}"/>
                </c:ext>
              </c:extLst>
            </c:dLbl>
            <c:dLbl>
              <c:idx val="5"/>
              <c:layout>
                <c:manualLayout>
                  <c:x val="-1.1726310227616277E-2"/>
                  <c:y val="3.0295859343243022E-2"/>
                </c:manualLayout>
              </c:layout>
              <c:tx>
                <c:rich>
                  <a:bodyPr/>
                  <a:lstStyle/>
                  <a:p>
                    <a:fld id="{DC213528-9255-4006-A35B-BC1130AD10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B2B1-499D-A3F4-C6E47E426E27}"/>
                </c:ext>
              </c:extLst>
            </c:dLbl>
            <c:dLbl>
              <c:idx val="6"/>
              <c:tx>
                <c:rich>
                  <a:bodyPr/>
                  <a:lstStyle/>
                  <a:p>
                    <a:fld id="{63EC8B70-1783-432E-9487-4214F265DB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B2B1-499D-A3F4-C6E47E426E27}"/>
                </c:ext>
              </c:extLst>
            </c:dLbl>
            <c:dLbl>
              <c:idx val="7"/>
              <c:tx>
                <c:rich>
                  <a:bodyPr/>
                  <a:lstStyle/>
                  <a:p>
                    <a:fld id="{92D4D721-0893-4DA9-9DBF-97ADE68E05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Data'!$H$30:$H$37</c:f>
              <c:numCache>
                <c:formatCode>General</c:formatCode>
                <c:ptCount val="8"/>
                <c:pt idx="0">
                  <c:v>151</c:v>
                </c:pt>
                <c:pt idx="1">
                  <c:v>167</c:v>
                </c:pt>
                <c:pt idx="2">
                  <c:v>186</c:v>
                </c:pt>
                <c:pt idx="3">
                  <c:v>135</c:v>
                </c:pt>
                <c:pt idx="4">
                  <c:v>162</c:v>
                </c:pt>
                <c:pt idx="5">
                  <c:v>158</c:v>
                </c:pt>
                <c:pt idx="6">
                  <c:v>131</c:v>
                </c:pt>
                <c:pt idx="7">
                  <c:v>189</c:v>
                </c:pt>
              </c:numCache>
            </c:numRef>
          </c:xVal>
          <c:yVal>
            <c:numRef>
              <c:f>'November 2022 Data'!$G$30:$G$37</c:f>
              <c:numCache>
                <c:formatCode>General</c:formatCode>
                <c:ptCount val="8"/>
                <c:pt idx="0">
                  <c:v>187</c:v>
                </c:pt>
                <c:pt idx="1">
                  <c:v>184</c:v>
                </c:pt>
                <c:pt idx="2">
                  <c:v>190</c:v>
                </c:pt>
                <c:pt idx="3">
                  <c:v>183</c:v>
                </c:pt>
                <c:pt idx="4">
                  <c:v>178</c:v>
                </c:pt>
                <c:pt idx="5">
                  <c:v>189</c:v>
                </c:pt>
                <c:pt idx="6">
                  <c:v>176</c:v>
                </c:pt>
                <c:pt idx="7">
                  <c:v>181</c:v>
                </c:pt>
              </c:numCache>
            </c:numRef>
          </c:yVal>
          <c:smooth val="0"/>
          <c:extLst>
            <c:ext xmlns:c15="http://schemas.microsoft.com/office/drawing/2012/chart" uri="{02D57815-91ED-43cb-92C2-25804820EDAC}">
              <c15:datalabelsRange>
                <c15:f>'November 2022 Data'!$A$30:$A$37</c15:f>
                <c15:dlblRangeCache>
                  <c:ptCount val="8"/>
                  <c:pt idx="0">
                    <c:v>Abi</c:v>
                  </c:pt>
                  <c:pt idx="1">
                    <c:v>Takanosho</c:v>
                  </c:pt>
                  <c:pt idx="2">
                    <c:v>Aoiyama</c:v>
                  </c:pt>
                  <c:pt idx="3">
                    <c:v>Chiyoshoma</c:v>
                  </c:pt>
                  <c:pt idx="4">
                    <c:v>Onosho</c:v>
                  </c:pt>
                  <c:pt idx="5">
                    <c:v>Kotoshoho</c:v>
                  </c:pt>
                  <c:pt idx="6">
                    <c:v>Kotoeko</c:v>
                  </c:pt>
                  <c:pt idx="7">
                    <c:v>Chiyotairyu</c:v>
                  </c:pt>
                </c15:dlblRangeCache>
              </c15:datalabelsRange>
            </c:ext>
            <c:ext xmlns:c16="http://schemas.microsoft.com/office/drawing/2014/chart" uri="{C3380CC4-5D6E-409C-BE32-E72D297353CC}">
              <c16:uniqueId val="{00000010-B2B1-499D-A3F4-C6E47E426E27}"/>
            </c:ext>
          </c:extLst>
        </c:ser>
        <c:ser>
          <c:idx val="7"/>
          <c:order val="7"/>
          <c:tx>
            <c:v>M13-16</c:v>
          </c:tx>
          <c:spPr>
            <a:ln w="25400" cap="rnd">
              <a:noFill/>
              <a:round/>
            </a:ln>
            <a:effectLst/>
          </c:spPr>
          <c:marker>
            <c:symbol val="circle"/>
            <c:size val="5"/>
            <c:spPr>
              <a:solidFill>
                <a:schemeClr val="accent4">
                  <a:alpha val="48000"/>
                </a:schemeClr>
              </a:solidFill>
              <a:ln w="9525">
                <a:noFill/>
              </a:ln>
              <a:effectLst/>
            </c:spPr>
          </c:marker>
          <c:dLbls>
            <c:dLbl>
              <c:idx val="0"/>
              <c:layout>
                <c:manualLayout>
                  <c:x val="-3.0781564347492636E-2"/>
                  <c:y val="-3.0295859343243057E-2"/>
                </c:manualLayout>
              </c:layout>
              <c:tx>
                <c:rich>
                  <a:bodyPr/>
                  <a:lstStyle/>
                  <a:p>
                    <a:fld id="{794EE349-1862-4CE3-82A1-B018B30DCA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B2B1-499D-A3F4-C6E47E426E27}"/>
                </c:ext>
              </c:extLst>
            </c:dLbl>
            <c:dLbl>
              <c:idx val="1"/>
              <c:layout>
                <c:manualLayout>
                  <c:x val="-5.8631551138081115E-3"/>
                  <c:y val="-3.4335307255675428E-2"/>
                </c:manualLayout>
              </c:layout>
              <c:tx>
                <c:rich>
                  <a:bodyPr/>
                  <a:lstStyle/>
                  <a:p>
                    <a:fld id="{3DFCD3DC-AA8E-4270-BD07-7F0EBD4B99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B2B1-499D-A3F4-C6E47E426E27}"/>
                </c:ext>
              </c:extLst>
            </c:dLbl>
            <c:dLbl>
              <c:idx val="2"/>
              <c:layout>
                <c:manualLayout>
                  <c:x val="-4.5439452132012913E-2"/>
                  <c:y val="-2.4236687474594454E-2"/>
                </c:manualLayout>
              </c:layout>
              <c:tx>
                <c:rich>
                  <a:bodyPr/>
                  <a:lstStyle/>
                  <a:p>
                    <a:fld id="{16747372-49D2-470C-B217-202576E5A0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B2B1-499D-A3F4-C6E47E426E27}"/>
                </c:ext>
              </c:extLst>
            </c:dLbl>
            <c:dLbl>
              <c:idx val="3"/>
              <c:tx>
                <c:rich>
                  <a:bodyPr/>
                  <a:lstStyle/>
                  <a:p>
                    <a:fld id="{28921527-8256-4675-B625-D4D7F8809B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2B1-499D-A3F4-C6E47E426E27}"/>
                </c:ext>
              </c:extLst>
            </c:dLbl>
            <c:dLbl>
              <c:idx val="4"/>
              <c:tx>
                <c:rich>
                  <a:bodyPr/>
                  <a:lstStyle/>
                  <a:p>
                    <a:fld id="{56E3BBB1-9343-4649-8183-55E4C490A5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2B1-499D-A3F4-C6E47E426E27}"/>
                </c:ext>
              </c:extLst>
            </c:dLbl>
            <c:dLbl>
              <c:idx val="5"/>
              <c:tx>
                <c:rich>
                  <a:bodyPr/>
                  <a:lstStyle/>
                  <a:p>
                    <a:fld id="{CBF5F329-2909-4355-9BDE-5AEB52F518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2B1-499D-A3F4-C6E47E426E27}"/>
                </c:ext>
              </c:extLst>
            </c:dLbl>
            <c:dLbl>
              <c:idx val="6"/>
              <c:tx>
                <c:rich>
                  <a:bodyPr/>
                  <a:lstStyle/>
                  <a:p>
                    <a:fld id="{B316042E-11EF-4F84-B132-1B3660F31F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2B1-499D-A3F4-C6E47E426E27}"/>
                </c:ext>
              </c:extLst>
            </c:dLbl>
            <c:dLbl>
              <c:idx val="7"/>
              <c:tx>
                <c:rich>
                  <a:bodyPr/>
                  <a:lstStyle/>
                  <a:p>
                    <a:fld id="{662242BF-3E9F-401C-B69F-C6B0A34067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Data'!$H$38:$H$45</c:f>
              <c:numCache>
                <c:formatCode>General</c:formatCode>
                <c:ptCount val="8"/>
                <c:pt idx="0">
                  <c:v>156</c:v>
                </c:pt>
                <c:pt idx="1">
                  <c:v>176</c:v>
                </c:pt>
                <c:pt idx="2">
                  <c:v>145</c:v>
                </c:pt>
                <c:pt idx="3">
                  <c:v>157</c:v>
                </c:pt>
                <c:pt idx="4">
                  <c:v>155</c:v>
                </c:pt>
                <c:pt idx="5">
                  <c:v>177</c:v>
                </c:pt>
                <c:pt idx="6">
                  <c:v>107</c:v>
                </c:pt>
                <c:pt idx="7">
                  <c:v>135</c:v>
                </c:pt>
              </c:numCache>
            </c:numRef>
          </c:xVal>
          <c:yVal>
            <c:numRef>
              <c:f>'November 2022 Data'!$G$38:$G$45</c:f>
              <c:numCache>
                <c:formatCode>General</c:formatCode>
                <c:ptCount val="8"/>
                <c:pt idx="0">
                  <c:v>189</c:v>
                </c:pt>
                <c:pt idx="1">
                  <c:v>189</c:v>
                </c:pt>
                <c:pt idx="2">
                  <c:v>187</c:v>
                </c:pt>
                <c:pt idx="3">
                  <c:v>191</c:v>
                </c:pt>
                <c:pt idx="4">
                  <c:v>193</c:v>
                </c:pt>
                <c:pt idx="5">
                  <c:v>185</c:v>
                </c:pt>
                <c:pt idx="6">
                  <c:v>169</c:v>
                </c:pt>
                <c:pt idx="7">
                  <c:v>178</c:v>
                </c:pt>
              </c:numCache>
            </c:numRef>
          </c:yVal>
          <c:smooth val="0"/>
          <c:extLst>
            <c:ext xmlns:c15="http://schemas.microsoft.com/office/drawing/2012/chart" uri="{02D57815-91ED-43cb-92C2-25804820EDAC}">
              <c15:datalabelsRange>
                <c15:f>'November 2022 Data'!$A$38:$A$45</c15:f>
                <c15:dlblRangeCache>
                  <c:ptCount val="8"/>
                  <c:pt idx="0">
                    <c:v>Okinoumi</c:v>
                  </c:pt>
                  <c:pt idx="1">
                    <c:v>Oho</c:v>
                  </c:pt>
                  <c:pt idx="2">
                    <c:v>Ichiyamamoto</c:v>
                  </c:pt>
                  <c:pt idx="3">
                    <c:v>Azumaryu</c:v>
                  </c:pt>
                  <c:pt idx="4">
                    <c:v>Kagayaki</c:v>
                  </c:pt>
                  <c:pt idx="5">
                    <c:v>Atamifuji</c:v>
                  </c:pt>
                  <c:pt idx="6">
                    <c:v>Terutsuyoshi</c:v>
                  </c:pt>
                  <c:pt idx="7">
                    <c:v>Hiradoumi</c:v>
                  </c:pt>
                </c15:dlblRangeCache>
              </c15:datalabelsRange>
            </c:ext>
            <c:ext xmlns:c16="http://schemas.microsoft.com/office/drawing/2014/chart" uri="{C3380CC4-5D6E-409C-BE32-E72D297353CC}">
              <c16:uniqueId val="{00000011-B2B1-499D-A3F4-C6E47E426E27}"/>
            </c:ext>
          </c:extLst>
        </c:ser>
        <c:dLbls>
          <c:showLegendKey val="0"/>
          <c:showVal val="0"/>
          <c:showCatName val="0"/>
          <c:showSerName val="0"/>
          <c:showPercent val="0"/>
          <c:showBubbleSize val="0"/>
        </c:dLbls>
        <c:axId val="745971600"/>
        <c:axId val="745971928"/>
      </c:scatterChart>
      <c:valAx>
        <c:axId val="745971600"/>
        <c:scaling>
          <c:orientation val="minMax"/>
          <c:max val="22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November 2022 Makuuchi Wrestlers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72178186362232E-2"/>
          <c:y val="7.6969294470663738E-2"/>
          <c:w val="0.81188907136193378"/>
          <c:h val="0.85594431898299383"/>
        </c:manualLayout>
      </c:layout>
      <c:scatterChart>
        <c:scatterStyle val="lineMarker"/>
        <c:varyColors val="0"/>
        <c:ser>
          <c:idx val="6"/>
          <c:order val="6"/>
          <c:tx>
            <c:v>M09-12</c:v>
          </c:tx>
          <c:spPr>
            <a:ln w="25400" cap="rnd">
              <a:noFill/>
              <a:round/>
            </a:ln>
            <a:effectLst/>
          </c:spPr>
          <c:marker>
            <c:symbol val="circle"/>
            <c:size val="5"/>
            <c:spPr>
              <a:solidFill>
                <a:schemeClr val="accent3">
                  <a:alpha val="57000"/>
                </a:schemeClr>
              </a:solidFill>
              <a:ln w="9525">
                <a:noFill/>
              </a:ln>
              <a:effectLst/>
            </c:spPr>
          </c:marker>
          <c:dLbls>
            <c:dLbl>
              <c:idx val="0"/>
              <c:layout>
                <c:manualLayout>
                  <c:x val="-1.3192099006068304E-2"/>
                  <c:y val="3.2315583299459223E-2"/>
                </c:manualLayout>
              </c:layout>
              <c:tx>
                <c:rich>
                  <a:bodyPr/>
                  <a:lstStyle/>
                  <a:p>
                    <a:fld id="{D8186817-6F0F-4D6C-89A6-F7BB86ACB0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BC40-409B-8FF6-7A42A2E83035}"/>
                </c:ext>
              </c:extLst>
            </c:dLbl>
            <c:dLbl>
              <c:idx val="1"/>
              <c:layout>
                <c:manualLayout>
                  <c:x val="-5.3744967676788177E-17"/>
                  <c:y val="-2.6256411430810693E-2"/>
                </c:manualLayout>
              </c:layout>
              <c:tx>
                <c:rich>
                  <a:bodyPr/>
                  <a:lstStyle/>
                  <a:p>
                    <a:fld id="{538CCDF0-F095-4C6C-9793-02E6F91157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BC40-409B-8FF6-7A42A2E83035}"/>
                </c:ext>
              </c:extLst>
            </c:dLbl>
            <c:dLbl>
              <c:idx val="2"/>
              <c:tx>
                <c:rich>
                  <a:bodyPr/>
                  <a:lstStyle/>
                  <a:p>
                    <a:fld id="{43A61A6F-BDD1-49B9-B9DB-23D2CE61C3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C40-409B-8FF6-7A42A2E83035}"/>
                </c:ext>
              </c:extLst>
            </c:dLbl>
            <c:dLbl>
              <c:idx val="3"/>
              <c:tx>
                <c:rich>
                  <a:bodyPr/>
                  <a:lstStyle/>
                  <a:p>
                    <a:fld id="{BD93F2CD-11D3-447E-AE03-47CD16B1C0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C40-409B-8FF6-7A42A2E83035}"/>
                </c:ext>
              </c:extLst>
            </c:dLbl>
            <c:dLbl>
              <c:idx val="4"/>
              <c:tx>
                <c:rich>
                  <a:bodyPr/>
                  <a:lstStyle/>
                  <a:p>
                    <a:fld id="{D6155884-B995-4082-8B26-42A3BD4FBB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C40-409B-8FF6-7A42A2E83035}"/>
                </c:ext>
              </c:extLst>
            </c:dLbl>
            <c:dLbl>
              <c:idx val="5"/>
              <c:layout>
                <c:manualLayout>
                  <c:x val="-1.1726310227616277E-2"/>
                  <c:y val="3.0295859343243022E-2"/>
                </c:manualLayout>
              </c:layout>
              <c:tx>
                <c:rich>
                  <a:bodyPr/>
                  <a:lstStyle/>
                  <a:p>
                    <a:fld id="{B9E0DE2F-15AB-4246-8A16-B55E97D577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BC40-409B-8FF6-7A42A2E83035}"/>
                </c:ext>
              </c:extLst>
            </c:dLbl>
            <c:dLbl>
              <c:idx val="6"/>
              <c:tx>
                <c:rich>
                  <a:bodyPr/>
                  <a:lstStyle/>
                  <a:p>
                    <a:fld id="{0C8B046F-213D-4BB1-8C58-A7F93C0581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C40-409B-8FF6-7A42A2E83035}"/>
                </c:ext>
              </c:extLst>
            </c:dLbl>
            <c:dLbl>
              <c:idx val="7"/>
              <c:tx>
                <c:rich>
                  <a:bodyPr/>
                  <a:lstStyle/>
                  <a:p>
                    <a:fld id="{C45A25EE-5136-44C9-8AE6-C7538C13AA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Data'!$H$30:$H$37</c:f>
              <c:numCache>
                <c:formatCode>General</c:formatCode>
                <c:ptCount val="8"/>
                <c:pt idx="0">
                  <c:v>151</c:v>
                </c:pt>
                <c:pt idx="1">
                  <c:v>167</c:v>
                </c:pt>
                <c:pt idx="2">
                  <c:v>186</c:v>
                </c:pt>
                <c:pt idx="3">
                  <c:v>135</c:v>
                </c:pt>
                <c:pt idx="4">
                  <c:v>162</c:v>
                </c:pt>
                <c:pt idx="5">
                  <c:v>158</c:v>
                </c:pt>
                <c:pt idx="6">
                  <c:v>131</c:v>
                </c:pt>
                <c:pt idx="7">
                  <c:v>189</c:v>
                </c:pt>
              </c:numCache>
            </c:numRef>
          </c:xVal>
          <c:yVal>
            <c:numRef>
              <c:f>'November 2022 Data'!$G$30:$G$37</c:f>
              <c:numCache>
                <c:formatCode>General</c:formatCode>
                <c:ptCount val="8"/>
                <c:pt idx="0">
                  <c:v>187</c:v>
                </c:pt>
                <c:pt idx="1">
                  <c:v>184</c:v>
                </c:pt>
                <c:pt idx="2">
                  <c:v>190</c:v>
                </c:pt>
                <c:pt idx="3">
                  <c:v>183</c:v>
                </c:pt>
                <c:pt idx="4">
                  <c:v>178</c:v>
                </c:pt>
                <c:pt idx="5">
                  <c:v>189</c:v>
                </c:pt>
                <c:pt idx="6">
                  <c:v>176</c:v>
                </c:pt>
                <c:pt idx="7">
                  <c:v>181</c:v>
                </c:pt>
              </c:numCache>
            </c:numRef>
          </c:yVal>
          <c:smooth val="0"/>
          <c:extLst>
            <c:ext xmlns:c15="http://schemas.microsoft.com/office/drawing/2012/chart" uri="{02D57815-91ED-43cb-92C2-25804820EDAC}">
              <c15:datalabelsRange>
                <c15:f>'November 2022 Data'!$A$30:$A$37</c15:f>
                <c15:dlblRangeCache>
                  <c:ptCount val="8"/>
                  <c:pt idx="0">
                    <c:v>Abi</c:v>
                  </c:pt>
                  <c:pt idx="1">
                    <c:v>Takanosho</c:v>
                  </c:pt>
                  <c:pt idx="2">
                    <c:v>Aoiyama</c:v>
                  </c:pt>
                  <c:pt idx="3">
                    <c:v>Chiyoshoma</c:v>
                  </c:pt>
                  <c:pt idx="4">
                    <c:v>Onosho</c:v>
                  </c:pt>
                  <c:pt idx="5">
                    <c:v>Kotoshoho</c:v>
                  </c:pt>
                  <c:pt idx="6">
                    <c:v>Kotoeko</c:v>
                  </c:pt>
                  <c:pt idx="7">
                    <c:v>Chiyotairyu</c:v>
                  </c:pt>
                </c15:dlblRangeCache>
              </c15:datalabelsRange>
            </c:ext>
            <c:ext xmlns:c16="http://schemas.microsoft.com/office/drawing/2014/chart" uri="{C3380CC4-5D6E-409C-BE32-E72D297353CC}">
              <c16:uniqueId val="{00000028-BC40-409B-8FF6-7A42A2E83035}"/>
            </c:ext>
          </c:extLst>
        </c:ser>
        <c:ser>
          <c:idx val="7"/>
          <c:order val="7"/>
          <c:tx>
            <c:v>M13-16</c:v>
          </c:tx>
          <c:spPr>
            <a:ln w="25400" cap="rnd">
              <a:noFill/>
              <a:round/>
            </a:ln>
            <a:effectLst/>
          </c:spPr>
          <c:marker>
            <c:symbol val="circle"/>
            <c:size val="5"/>
            <c:spPr>
              <a:solidFill>
                <a:schemeClr val="accent4">
                  <a:alpha val="48000"/>
                </a:schemeClr>
              </a:solidFill>
              <a:ln w="9525">
                <a:noFill/>
              </a:ln>
              <a:effectLst/>
            </c:spPr>
          </c:marker>
          <c:dLbls>
            <c:dLbl>
              <c:idx val="0"/>
              <c:layout>
                <c:manualLayout>
                  <c:x val="-3.0781564347492636E-2"/>
                  <c:y val="-3.0295859343243057E-2"/>
                </c:manualLayout>
              </c:layout>
              <c:tx>
                <c:rich>
                  <a:bodyPr/>
                  <a:lstStyle/>
                  <a:p>
                    <a:fld id="{7641B188-890B-460A-85A2-C920B9B172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BC40-409B-8FF6-7A42A2E83035}"/>
                </c:ext>
              </c:extLst>
            </c:dLbl>
            <c:dLbl>
              <c:idx val="1"/>
              <c:layout>
                <c:manualLayout>
                  <c:x val="-5.8631551138081115E-3"/>
                  <c:y val="-3.4335307255675428E-2"/>
                </c:manualLayout>
              </c:layout>
              <c:tx>
                <c:rich>
                  <a:bodyPr/>
                  <a:lstStyle/>
                  <a:p>
                    <a:fld id="{E88BC245-8A66-45D2-B44D-64878C816A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BC40-409B-8FF6-7A42A2E83035}"/>
                </c:ext>
              </c:extLst>
            </c:dLbl>
            <c:dLbl>
              <c:idx val="2"/>
              <c:layout>
                <c:manualLayout>
                  <c:x val="-4.5439452132012913E-2"/>
                  <c:y val="-2.4236687474594454E-2"/>
                </c:manualLayout>
              </c:layout>
              <c:tx>
                <c:rich>
                  <a:bodyPr/>
                  <a:lstStyle/>
                  <a:p>
                    <a:fld id="{E70C6EB7-3BCA-44E5-ACF8-9AF6D43BA6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BC40-409B-8FF6-7A42A2E83035}"/>
                </c:ext>
              </c:extLst>
            </c:dLbl>
            <c:dLbl>
              <c:idx val="3"/>
              <c:tx>
                <c:rich>
                  <a:bodyPr/>
                  <a:lstStyle/>
                  <a:p>
                    <a:fld id="{A65CA0E5-3997-48CB-83BB-B88943E3E1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BC40-409B-8FF6-7A42A2E83035}"/>
                </c:ext>
              </c:extLst>
            </c:dLbl>
            <c:dLbl>
              <c:idx val="4"/>
              <c:tx>
                <c:rich>
                  <a:bodyPr/>
                  <a:lstStyle/>
                  <a:p>
                    <a:fld id="{5B10A7FB-3896-4553-852E-38F7C140A6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BC40-409B-8FF6-7A42A2E83035}"/>
                </c:ext>
              </c:extLst>
            </c:dLbl>
            <c:dLbl>
              <c:idx val="5"/>
              <c:tx>
                <c:rich>
                  <a:bodyPr/>
                  <a:lstStyle/>
                  <a:p>
                    <a:fld id="{843F0531-87A1-4CEA-B82F-FE91B20F63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BC40-409B-8FF6-7A42A2E83035}"/>
                </c:ext>
              </c:extLst>
            </c:dLbl>
            <c:dLbl>
              <c:idx val="6"/>
              <c:tx>
                <c:rich>
                  <a:bodyPr/>
                  <a:lstStyle/>
                  <a:p>
                    <a:fld id="{D52D9018-1977-4197-B06F-18B8F415C4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BC40-409B-8FF6-7A42A2E83035}"/>
                </c:ext>
              </c:extLst>
            </c:dLbl>
            <c:dLbl>
              <c:idx val="7"/>
              <c:tx>
                <c:rich>
                  <a:bodyPr/>
                  <a:lstStyle/>
                  <a:p>
                    <a:fld id="{F1126886-5B7A-483C-89F3-03CBA31A65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Data'!$H$38:$H$45</c:f>
              <c:numCache>
                <c:formatCode>General</c:formatCode>
                <c:ptCount val="8"/>
                <c:pt idx="0">
                  <c:v>156</c:v>
                </c:pt>
                <c:pt idx="1">
                  <c:v>176</c:v>
                </c:pt>
                <c:pt idx="2">
                  <c:v>145</c:v>
                </c:pt>
                <c:pt idx="3">
                  <c:v>157</c:v>
                </c:pt>
                <c:pt idx="4">
                  <c:v>155</c:v>
                </c:pt>
                <c:pt idx="5">
                  <c:v>177</c:v>
                </c:pt>
                <c:pt idx="6">
                  <c:v>107</c:v>
                </c:pt>
                <c:pt idx="7">
                  <c:v>135</c:v>
                </c:pt>
              </c:numCache>
            </c:numRef>
          </c:xVal>
          <c:yVal>
            <c:numRef>
              <c:f>'November 2022 Data'!$G$38:$G$45</c:f>
              <c:numCache>
                <c:formatCode>General</c:formatCode>
                <c:ptCount val="8"/>
                <c:pt idx="0">
                  <c:v>189</c:v>
                </c:pt>
                <c:pt idx="1">
                  <c:v>189</c:v>
                </c:pt>
                <c:pt idx="2">
                  <c:v>187</c:v>
                </c:pt>
                <c:pt idx="3">
                  <c:v>191</c:v>
                </c:pt>
                <c:pt idx="4">
                  <c:v>193</c:v>
                </c:pt>
                <c:pt idx="5">
                  <c:v>185</c:v>
                </c:pt>
                <c:pt idx="6">
                  <c:v>169</c:v>
                </c:pt>
                <c:pt idx="7">
                  <c:v>178</c:v>
                </c:pt>
              </c:numCache>
            </c:numRef>
          </c:yVal>
          <c:smooth val="0"/>
          <c:extLst>
            <c:ext xmlns:c15="http://schemas.microsoft.com/office/drawing/2012/chart" uri="{02D57815-91ED-43cb-92C2-25804820EDAC}">
              <c15:datalabelsRange>
                <c15:f>'November 2022 Data'!$A$38:$A$45</c15:f>
                <c15:dlblRangeCache>
                  <c:ptCount val="8"/>
                  <c:pt idx="0">
                    <c:v>Okinoumi</c:v>
                  </c:pt>
                  <c:pt idx="1">
                    <c:v>Oho</c:v>
                  </c:pt>
                  <c:pt idx="2">
                    <c:v>Ichiyamamoto</c:v>
                  </c:pt>
                  <c:pt idx="3">
                    <c:v>Azumaryu</c:v>
                  </c:pt>
                  <c:pt idx="4">
                    <c:v>Kagayaki</c:v>
                  </c:pt>
                  <c:pt idx="5">
                    <c:v>Atamifuji</c:v>
                  </c:pt>
                  <c:pt idx="6">
                    <c:v>Terutsuyoshi</c:v>
                  </c:pt>
                  <c:pt idx="7">
                    <c:v>Hiradoumi</c:v>
                  </c:pt>
                </c15:dlblRangeCache>
              </c15:datalabelsRange>
            </c:ext>
            <c:ext xmlns:c16="http://schemas.microsoft.com/office/drawing/2014/chart" uri="{C3380CC4-5D6E-409C-BE32-E72D297353CC}">
              <c16:uniqueId val="{00000031-BC40-409B-8FF6-7A42A2E83035}"/>
            </c:ext>
          </c:extLst>
        </c:ser>
        <c:dLbls>
          <c:showLegendKey val="0"/>
          <c:showVal val="0"/>
          <c:showCatName val="0"/>
          <c:showSerName val="0"/>
          <c:showPercent val="0"/>
          <c:showBubbleSize val="0"/>
        </c:dLbls>
        <c:axId val="745971600"/>
        <c:axId val="745971928"/>
        <c:extLst>
          <c:ext xmlns:c15="http://schemas.microsoft.com/office/drawing/2012/chart" uri="{02D57815-91ED-43cb-92C2-25804820EDAC}">
            <c15:filteredScatterSeries>
              <c15:ser>
                <c:idx val="0"/>
                <c:order val="0"/>
                <c:tx>
                  <c:strRef>
                    <c:extLst>
                      <c:ext uri="{02D57815-91ED-43cb-92C2-25804820EDAC}">
                        <c15:formulaRef>
                          <c15:sqref>'September 2022 Data'!$C$4</c15:sqref>
                        </c15:formulaRef>
                      </c:ext>
                    </c:extLst>
                    <c:strCache>
                      <c:ptCount val="1"/>
                      <c:pt idx="0">
                        <c:v>Yokozuna</c:v>
                      </c:pt>
                    </c:strCache>
                  </c:strRef>
                </c:tx>
                <c:spPr>
                  <a:ln w="25400" cap="rnd">
                    <a:noFill/>
                    <a:round/>
                  </a:ln>
                  <a:effectLst/>
                </c:spPr>
                <c:marker>
                  <c:symbol val="circle"/>
                  <c:size val="13"/>
                  <c:spPr>
                    <a:solidFill>
                      <a:schemeClr val="accent1"/>
                    </a:solidFill>
                    <a:ln w="9525">
                      <a:solidFill>
                        <a:schemeClr val="accent1"/>
                      </a:solidFill>
                    </a:ln>
                    <a:effectLst/>
                  </c:spPr>
                </c:marker>
                <c:dLbls>
                  <c:dLbl>
                    <c:idx val="0"/>
                    <c:tx>
                      <c:rich>
                        <a:bodyPr/>
                        <a:lstStyle/>
                        <a:p>
                          <a:fld id="{1DFCB687-C688-42E0-8352-42B28E3DA7D7}" type="CELLRANGE">
                            <a:rPr lang="en-US"/>
                            <a:pPr/>
                            <a:t>[CELLRANGE]</a:t>
                          </a:fld>
                          <a:endParaRPr lang="en-US"/>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0-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c:ext uri="{02D57815-91ED-43cb-92C2-25804820EDAC}">
                        <c15:formulaRef>
                          <c15:sqref>'November 2022 Data'!$H$4</c15:sqref>
                        </c15:formulaRef>
                      </c:ext>
                    </c:extLst>
                    <c:numCache>
                      <c:formatCode>General</c:formatCode>
                      <c:ptCount val="1"/>
                      <c:pt idx="0">
                        <c:v>181</c:v>
                      </c:pt>
                    </c:numCache>
                  </c:numRef>
                </c:xVal>
                <c:yVal>
                  <c:numRef>
                    <c:extLst>
                      <c:ext uri="{02D57815-91ED-43cb-92C2-25804820EDAC}">
                        <c15:formulaRef>
                          <c15:sqref>'November 2022 Data'!$G$4</c15:sqref>
                        </c15:formulaRef>
                      </c:ext>
                    </c:extLst>
                    <c:numCache>
                      <c:formatCode>General</c:formatCode>
                      <c:ptCount val="1"/>
                      <c:pt idx="0">
                        <c:v>192</c:v>
                      </c:pt>
                    </c:numCache>
                  </c:numRef>
                </c:yVal>
                <c:smooth val="0"/>
                <c:extLst>
                  <c:ext uri="{02D57815-91ED-43cb-92C2-25804820EDAC}">
                    <c15:datalabelsRange>
                      <c15:f>'November 2022 Data'!$A$4</c15:f>
                      <c15:dlblRangeCache>
                        <c:ptCount val="1"/>
                        <c:pt idx="0">
                          <c:v>Terunofuji</c:v>
                        </c:pt>
                      </c15:dlblRangeCache>
                    </c15:datalabelsRange>
                  </c:ext>
                  <c:ext xmlns:c16="http://schemas.microsoft.com/office/drawing/2014/chart" uri="{C3380CC4-5D6E-409C-BE32-E72D297353CC}">
                    <c16:uniqueId val="{00000001-BC40-409B-8FF6-7A42A2E83035}"/>
                  </c:ext>
                </c:extLst>
              </c15:ser>
            </c15:filteredScatterSeries>
            <c15:filteredScatterSeries>
              <c15:ser>
                <c:idx val="1"/>
                <c:order val="1"/>
                <c:tx>
                  <c:strRef>
                    <c:extLst xmlns:c15="http://schemas.microsoft.com/office/drawing/2012/chart">
                      <c:ext xmlns:c15="http://schemas.microsoft.com/office/drawing/2012/chart" uri="{02D57815-91ED-43cb-92C2-25804820EDAC}">
                        <c15:formulaRef>
                          <c15:sqref>'September 2022 Data'!$C$5</c15:sqref>
                        </c15:formulaRef>
                      </c:ext>
                    </c:extLst>
                    <c:strCache>
                      <c:ptCount val="1"/>
                      <c:pt idx="0">
                        <c:v>Ozeki</c:v>
                      </c:pt>
                    </c:strCache>
                  </c:strRef>
                </c:tx>
                <c:spPr>
                  <a:ln w="25400" cap="rnd">
                    <a:noFill/>
                    <a:round/>
                  </a:ln>
                  <a:effectLst/>
                </c:spPr>
                <c:marker>
                  <c:symbol val="circle"/>
                  <c:size val="11"/>
                  <c:spPr>
                    <a:solidFill>
                      <a:schemeClr val="accent2"/>
                    </a:solidFill>
                    <a:ln w="9525">
                      <a:solidFill>
                        <a:schemeClr val="accent2"/>
                      </a:solidFill>
                    </a:ln>
                    <a:effectLst/>
                  </c:spPr>
                </c:marker>
                <c:dLbls>
                  <c:dLbl>
                    <c:idx val="0"/>
                    <c:tx>
                      <c:rich>
                        <a:bodyPr/>
                        <a:lstStyle/>
                        <a:p>
                          <a:fld id="{9F07923F-0CB7-4366-9623-6D0DBFE6BB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C40-409B-8FF6-7A42A2E83035}"/>
                      </c:ext>
                    </c:extLst>
                  </c:dLbl>
                  <c:dLbl>
                    <c:idx val="1"/>
                    <c:tx>
                      <c:rich>
                        <a:bodyPr/>
                        <a:lstStyle/>
                        <a:p>
                          <a:fld id="{F781AE2F-BC4A-4402-958A-D8B9CA1B88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'November 2022 Data'!$H$5:$H$6</c15:sqref>
                        </c15:formulaRef>
                      </c:ext>
                    </c:extLst>
                    <c:numCache>
                      <c:formatCode>General</c:formatCode>
                      <c:ptCount val="2"/>
                      <c:pt idx="0">
                        <c:v>163</c:v>
                      </c:pt>
                      <c:pt idx="1">
                        <c:v>162</c:v>
                      </c:pt>
                    </c:numCache>
                  </c:numRef>
                </c:xVal>
                <c:yVal>
                  <c:numRef>
                    <c:extLst xmlns:c15="http://schemas.microsoft.com/office/drawing/2012/chart">
                      <c:ext xmlns:c15="http://schemas.microsoft.com/office/drawing/2012/chart" uri="{02D57815-91ED-43cb-92C2-25804820EDAC}">
                        <c15:formulaRef>
                          <c15:sqref>'November 2022 Data'!$G$5:$G$6</c15:sqref>
                        </c15:formulaRef>
                      </c:ext>
                    </c:extLst>
                    <c:numCache>
                      <c:formatCode>General</c:formatCode>
                      <c:ptCount val="2"/>
                      <c:pt idx="0">
                        <c:v>175</c:v>
                      </c:pt>
                      <c:pt idx="1">
                        <c:v>183</c:v>
                      </c:pt>
                    </c:numCache>
                  </c:numRef>
                </c:yVal>
                <c:smooth val="0"/>
                <c:extLst xmlns:c15="http://schemas.microsoft.com/office/drawing/2012/chart">
                  <c:ext xmlns:c15="http://schemas.microsoft.com/office/drawing/2012/chart" uri="{02D57815-91ED-43cb-92C2-25804820EDAC}">
                    <c15:datalabelsRange>
                      <c15:f>'November 2022 Data'!$A$5:$A$6</c15:f>
                      <c15:dlblRangeCache>
                        <c:ptCount val="2"/>
                        <c:pt idx="0">
                          <c:v>Takakeisho</c:v>
                        </c:pt>
                        <c:pt idx="1">
                          <c:v>Shodai</c:v>
                        </c:pt>
                      </c15:dlblRangeCache>
                    </c15:datalabelsRange>
                  </c:ext>
                  <c:ext xmlns:c16="http://schemas.microsoft.com/office/drawing/2014/chart" uri="{C3380CC4-5D6E-409C-BE32-E72D297353CC}">
                    <c16:uniqueId val="{00000004-BC40-409B-8FF6-7A42A2E83035}"/>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'September 2022 Data'!$C$8</c15:sqref>
                        </c15:formulaRef>
                      </c:ext>
                    </c:extLst>
                    <c:strCache>
                      <c:ptCount val="1"/>
                      <c:pt idx="0">
                        <c:v>Sekiwake</c:v>
                      </c:pt>
                    </c:strCache>
                  </c:strRef>
                </c:tx>
                <c:spPr>
                  <a:ln w="25400" cap="rnd">
                    <a:noFill/>
                    <a:round/>
                  </a:ln>
                  <a:effectLst/>
                </c:spPr>
                <c:marker>
                  <c:symbol val="circle"/>
                  <c:size val="9"/>
                  <c:spPr>
                    <a:solidFill>
                      <a:schemeClr val="accent3"/>
                    </a:solidFill>
                    <a:ln w="9525">
                      <a:solidFill>
                        <a:schemeClr val="accent3"/>
                      </a:solidFill>
                    </a:ln>
                    <a:effectLst/>
                  </c:spPr>
                </c:marker>
                <c:dLbls>
                  <c:dLbl>
                    <c:idx val="0"/>
                    <c:tx>
                      <c:rich>
                        <a:bodyPr/>
                        <a:lstStyle/>
                        <a:p>
                          <a:fld id="{4758D117-4752-4E61-AEBD-B0151259AC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C40-409B-8FF6-7A42A2E83035}"/>
                      </c:ext>
                    </c:extLst>
                  </c:dLbl>
                  <c:dLbl>
                    <c:idx val="1"/>
                    <c:layout>
                      <c:manualLayout>
                        <c:x val="-5.2768396024273002E-2"/>
                        <c:y val="5.0493098905404959E-2"/>
                      </c:manualLayout>
                    </c:layout>
                    <c:tx>
                      <c:rich>
                        <a:bodyPr/>
                        <a:lstStyle/>
                        <a:p>
                          <a:fld id="{A1169BD0-F9BC-4332-BAD2-9BF2B5787044}"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6-BC40-409B-8FF6-7A42A2E83035}"/>
                      </c:ext>
                    </c:extLst>
                  </c:dLbl>
                  <c:dLbl>
                    <c:idx val="2"/>
                    <c:tx>
                      <c:rich>
                        <a:bodyPr/>
                        <a:lstStyle/>
                        <a:p>
                          <a:fld id="{870B87FF-2F63-4309-A2B0-8FE97F154F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'November 2022 Data'!$H$7:$H$9</c15:sqref>
                        </c15:formulaRef>
                      </c:ext>
                    </c:extLst>
                    <c:numCache>
                      <c:formatCode>General</c:formatCode>
                      <c:ptCount val="3"/>
                      <c:pt idx="0">
                        <c:v>171</c:v>
                      </c:pt>
                      <c:pt idx="1">
                        <c:v>132</c:v>
                      </c:pt>
                      <c:pt idx="2">
                        <c:v>140</c:v>
                      </c:pt>
                    </c:numCache>
                  </c:numRef>
                </c:xVal>
                <c:yVal>
                  <c:numRef>
                    <c:extLst xmlns:c15="http://schemas.microsoft.com/office/drawing/2012/chart">
                      <c:ext xmlns:c15="http://schemas.microsoft.com/office/drawing/2012/chart" uri="{02D57815-91ED-43cb-92C2-25804820EDAC}">
                        <c15:formulaRef>
                          <c15:sqref>'November 2022 Data'!$G$7:$G$9</c15:sqref>
                        </c15:formulaRef>
                      </c:ext>
                    </c:extLst>
                    <c:numCache>
                      <c:formatCode>General</c:formatCode>
                      <c:ptCount val="3"/>
                      <c:pt idx="0">
                        <c:v>179</c:v>
                      </c:pt>
                      <c:pt idx="1">
                        <c:v>183</c:v>
                      </c:pt>
                      <c:pt idx="2">
                        <c:v>185</c:v>
                      </c:pt>
                    </c:numCache>
                  </c:numRef>
                </c:yVal>
                <c:smooth val="0"/>
                <c:extLst xmlns:c15="http://schemas.microsoft.com/office/drawing/2012/chart">
                  <c:ext xmlns:c15="http://schemas.microsoft.com/office/drawing/2012/chart" uri="{02D57815-91ED-43cb-92C2-25804820EDAC}">
                    <c15:datalabelsRange>
                      <c15:f>'November 2022 Data'!$A$7:$A$9</c15:f>
                      <c15:dlblRangeCache>
                        <c:ptCount val="3"/>
                        <c:pt idx="0">
                          <c:v>Mitakeumi</c:v>
                        </c:pt>
                        <c:pt idx="1">
                          <c:v>Wakatakakage</c:v>
                        </c:pt>
                        <c:pt idx="2">
                          <c:v>Hoshoryu</c:v>
                        </c:pt>
                      </c15:dlblRangeCache>
                    </c15:datalabelsRange>
                  </c:ext>
                  <c:ext xmlns:c16="http://schemas.microsoft.com/office/drawing/2014/chart" uri="{C3380CC4-5D6E-409C-BE32-E72D297353CC}">
                    <c16:uniqueId val="{00000008-BC40-409B-8FF6-7A42A2E83035}"/>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'September 2022 Data'!$C$11</c15:sqref>
                        </c15:formulaRef>
                      </c:ext>
                    </c:extLst>
                    <c:strCache>
                      <c:ptCount val="1"/>
                      <c:pt idx="0">
                        <c:v>Komusubi</c:v>
                      </c:pt>
                    </c:strCache>
                  </c:strRef>
                </c:tx>
                <c:spPr>
                  <a:ln w="25400" cap="rnd">
                    <a:noFill/>
                    <a:round/>
                  </a:ln>
                  <a:effectLst/>
                </c:spPr>
                <c:marker>
                  <c:symbol val="circle"/>
                  <c:size val="6"/>
                  <c:spPr>
                    <a:solidFill>
                      <a:schemeClr val="accent4"/>
                    </a:solidFill>
                    <a:ln w="9525">
                      <a:solidFill>
                        <a:schemeClr val="accent4"/>
                      </a:solidFill>
                    </a:ln>
                    <a:effectLst/>
                  </c:spPr>
                </c:marker>
                <c:dLbls>
                  <c:dLbl>
                    <c:idx val="0"/>
                    <c:tx>
                      <c:rich>
                        <a:bodyPr/>
                        <a:lstStyle/>
                        <a:p>
                          <a:fld id="{175D36D8-C89F-433A-82A6-9DC8047D99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C40-409B-8FF6-7A42A2E83035}"/>
                      </c:ext>
                    </c:extLst>
                  </c:dLbl>
                  <c:dLbl>
                    <c:idx val="1"/>
                    <c:layout>
                      <c:manualLayout>
                        <c:x val="-0.10846836960545009"/>
                        <c:y val="-2.019644439525012E-3"/>
                      </c:manualLayout>
                    </c:layout>
                    <c:tx>
                      <c:rich>
                        <a:bodyPr/>
                        <a:lstStyle/>
                        <a:p>
                          <a:fld id="{2C607634-F3E2-4EB1-8AE1-5C3DD4DDF0EF}"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layout>
                          <c:manualLayout>
                            <c:w val="7.6030463938306675E-2"/>
                            <c:h val="2.8245919044374762E-2"/>
                          </c:manualLayout>
                        </c15:layout>
                        <c15:dlblFieldTable/>
                        <c15:showDataLabelsRange val="1"/>
                      </c:ext>
                      <c:ext xmlns:c16="http://schemas.microsoft.com/office/drawing/2014/chart" uri="{C3380CC4-5D6E-409C-BE32-E72D297353CC}">
                        <c16:uniqueId val="{0000000A-BC40-409B-8FF6-7A42A2E83035}"/>
                      </c:ext>
                    </c:extLst>
                  </c:dLbl>
                  <c:dLbl>
                    <c:idx val="2"/>
                    <c:tx>
                      <c:rich>
                        <a:bodyPr/>
                        <a:lstStyle/>
                        <a:p>
                          <a:fld id="{499C96D2-C577-4F5A-86AF-988BDA8560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C40-409B-8FF6-7A42A2E83035}"/>
                      </c:ext>
                    </c:extLst>
                  </c:dLbl>
                  <c:dLbl>
                    <c:idx val="3"/>
                    <c:layout>
                      <c:manualLayout>
                        <c:x val="-1.7589465341424332E-2"/>
                        <c:y val="3.2315583299459189E-2"/>
                      </c:manualLayout>
                    </c:layout>
                    <c:tx>
                      <c:rich>
                        <a:bodyPr/>
                        <a:lstStyle/>
                        <a:p>
                          <a:fld id="{8D91C6DD-E4E8-4AF2-AC23-1F25E821E17A}"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C-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'November 2022 Data'!$H$10:$H$13</c15:sqref>
                        </c15:formulaRef>
                      </c:ext>
                    </c:extLst>
                    <c:numCache>
                      <c:formatCode>General</c:formatCode>
                      <c:ptCount val="4"/>
                      <c:pt idx="0">
                        <c:v>161</c:v>
                      </c:pt>
                      <c:pt idx="1">
                        <c:v>138</c:v>
                      </c:pt>
                      <c:pt idx="2">
                        <c:v>133</c:v>
                      </c:pt>
                      <c:pt idx="3">
                        <c:v>174</c:v>
                      </c:pt>
                    </c:numCache>
                  </c:numRef>
                </c:xVal>
                <c:yVal>
                  <c:numRef>
                    <c:extLst xmlns:c15="http://schemas.microsoft.com/office/drawing/2012/chart">
                      <c:ext xmlns:c15="http://schemas.microsoft.com/office/drawing/2012/chart" uri="{02D57815-91ED-43cb-92C2-25804820EDAC}">
                        <c15:formulaRef>
                          <c15:sqref>'November 2022 Data'!$G$10:$G$13</c15:sqref>
                        </c15:formulaRef>
                      </c:ext>
                    </c:extLst>
                    <c:numCache>
                      <c:formatCode>General</c:formatCode>
                      <c:ptCount val="4"/>
                      <c:pt idx="0">
                        <c:v>182</c:v>
                      </c:pt>
                      <c:pt idx="1">
                        <c:v>185</c:v>
                      </c:pt>
                      <c:pt idx="2">
                        <c:v>174</c:v>
                      </c:pt>
                      <c:pt idx="3">
                        <c:v>189</c:v>
                      </c:pt>
                    </c:numCache>
                  </c:numRef>
                </c:yVal>
                <c:smooth val="0"/>
                <c:extLst xmlns:c15="http://schemas.microsoft.com/office/drawing/2012/chart">
                  <c:ext xmlns:c15="http://schemas.microsoft.com/office/drawing/2012/chart" uri="{02D57815-91ED-43cb-92C2-25804820EDAC}">
                    <c15:datalabelsRange>
                      <c15:f>'November 2022 Data'!$A$10:$A$13</c15:f>
                      <c15:dlblRangeCache>
                        <c:ptCount val="4"/>
                        <c:pt idx="0">
                          <c:v>Daieisho</c:v>
                        </c:pt>
                        <c:pt idx="1">
                          <c:v>Kiribayama</c:v>
                        </c:pt>
                        <c:pt idx="2">
                          <c:v>Tobizaru</c:v>
                        </c:pt>
                        <c:pt idx="3">
                          <c:v>Tamawashi</c:v>
                        </c:pt>
                      </c15:dlblRangeCache>
                    </c15:datalabelsRange>
                  </c:ext>
                  <c:ext xmlns:c16="http://schemas.microsoft.com/office/drawing/2014/chart" uri="{C3380CC4-5D6E-409C-BE32-E72D297353CC}">
                    <c16:uniqueId val="{0000000D-BC40-409B-8FF6-7A42A2E83035}"/>
                  </c:ext>
                </c:extLst>
              </c15:ser>
            </c15:filteredScatterSeries>
            <c15:filteredScatterSeries>
              <c15:ser>
                <c:idx val="4"/>
                <c:order val="4"/>
                <c:tx>
                  <c:v>M01-04</c:v>
                </c:tx>
                <c:spPr>
                  <a:ln w="25400" cap="rnd">
                    <a:noFill/>
                    <a:round/>
                  </a:ln>
                  <a:effectLst/>
                </c:spPr>
                <c:marker>
                  <c:symbol val="circle"/>
                  <c:size val="5"/>
                  <c:spPr>
                    <a:solidFill>
                      <a:schemeClr val="accent1">
                        <a:alpha val="73000"/>
                      </a:schemeClr>
                    </a:solidFill>
                    <a:ln w="9525">
                      <a:noFill/>
                    </a:ln>
                    <a:effectLst/>
                  </c:spPr>
                </c:marker>
                <c:dLbls>
                  <c:dLbl>
                    <c:idx val="0"/>
                    <c:layout>
                      <c:manualLayout>
                        <c:x val="-2.3452620455232498E-2"/>
                        <c:y val="-3.0295859343243057E-2"/>
                      </c:manualLayout>
                    </c:layout>
                    <c:tx>
                      <c:rich>
                        <a:bodyPr/>
                        <a:lstStyle/>
                        <a:p>
                          <a:fld id="{1ED11703-A51E-46D8-A24C-DAC318089884}"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E-BC40-409B-8FF6-7A42A2E83035}"/>
                      </c:ext>
                    </c:extLst>
                  </c:dLbl>
                  <c:dLbl>
                    <c:idx val="1"/>
                    <c:tx>
                      <c:rich>
                        <a:bodyPr/>
                        <a:lstStyle/>
                        <a:p>
                          <a:fld id="{53F8A9F1-9DFF-44EB-A361-49DACB7010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C40-409B-8FF6-7A42A2E83035}"/>
                      </c:ext>
                    </c:extLst>
                  </c:dLbl>
                  <c:dLbl>
                    <c:idx val="2"/>
                    <c:tx>
                      <c:rich>
                        <a:bodyPr/>
                        <a:lstStyle/>
                        <a:p>
                          <a:fld id="{8ECFC484-4181-4437-A8D8-C46C38DFFF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C40-409B-8FF6-7A42A2E83035}"/>
                      </c:ext>
                    </c:extLst>
                  </c:dLbl>
                  <c:dLbl>
                    <c:idx val="3"/>
                    <c:tx>
                      <c:rich>
                        <a:bodyPr/>
                        <a:lstStyle/>
                        <a:p>
                          <a:fld id="{38602786-A9F1-4024-A943-88218C4197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C40-409B-8FF6-7A42A2E83035}"/>
                      </c:ext>
                    </c:extLst>
                  </c:dLbl>
                  <c:dLbl>
                    <c:idx val="4"/>
                    <c:tx>
                      <c:rich>
                        <a:bodyPr/>
                        <a:lstStyle/>
                        <a:p>
                          <a:fld id="{CCFD6BD7-AAAB-45E5-98A4-9AEF00ED39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C40-409B-8FF6-7A42A2E83035}"/>
                      </c:ext>
                    </c:extLst>
                  </c:dLbl>
                  <c:dLbl>
                    <c:idx val="5"/>
                    <c:tx>
                      <c:rich>
                        <a:bodyPr/>
                        <a:lstStyle/>
                        <a:p>
                          <a:fld id="{25B58666-3D23-4ADB-BB1B-B941D24F24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C40-409B-8FF6-7A42A2E83035}"/>
                      </c:ext>
                    </c:extLst>
                  </c:dLbl>
                  <c:dLbl>
                    <c:idx val="6"/>
                    <c:tx>
                      <c:rich>
                        <a:bodyPr/>
                        <a:lstStyle/>
                        <a:p>
                          <a:fld id="{5621FC33-F3F5-401C-B0B7-2E7083B57E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C40-409B-8FF6-7A42A2E83035}"/>
                      </c:ext>
                    </c:extLst>
                  </c:dLbl>
                  <c:dLbl>
                    <c:idx val="7"/>
                    <c:tx>
                      <c:rich>
                        <a:bodyPr/>
                        <a:lstStyle/>
                        <a:p>
                          <a:fld id="{0E0FB852-D290-45C3-90D6-DF69B932E2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'November 2022 Data'!$H$14:$H$21</c15:sqref>
                        </c15:formulaRef>
                      </c:ext>
                    </c:extLst>
                    <c:numCache>
                      <c:formatCode>General</c:formatCode>
                      <c:ptCount val="8"/>
                      <c:pt idx="0">
                        <c:v>167</c:v>
                      </c:pt>
                      <c:pt idx="1">
                        <c:v>182</c:v>
                      </c:pt>
                      <c:pt idx="2">
                        <c:v>212</c:v>
                      </c:pt>
                      <c:pt idx="3">
                        <c:v>153</c:v>
                      </c:pt>
                      <c:pt idx="4">
                        <c:v>114</c:v>
                      </c:pt>
                      <c:pt idx="5">
                        <c:v>151</c:v>
                      </c:pt>
                      <c:pt idx="6">
                        <c:v>141</c:v>
                      </c:pt>
                      <c:pt idx="7">
                        <c:v>135</c:v>
                      </c:pt>
                    </c:numCache>
                  </c:numRef>
                </c:xVal>
                <c:yVal>
                  <c:numRef>
                    <c:extLst xmlns:c15="http://schemas.microsoft.com/office/drawing/2012/chart">
                      <c:ext xmlns:c15="http://schemas.microsoft.com/office/drawing/2012/chart" uri="{02D57815-91ED-43cb-92C2-25804820EDAC}">
                        <c15:formulaRef>
                          <c15:sqref>'November 2022 Data'!$G$14:$G$21</c15:sqref>
                        </c15:formulaRef>
                      </c:ext>
                    </c:extLst>
                    <c:numCache>
                      <c:formatCode>General</c:formatCode>
                      <c:ptCount val="8"/>
                      <c:pt idx="0">
                        <c:v>189</c:v>
                      </c:pt>
                      <c:pt idx="1">
                        <c:v>186</c:v>
                      </c:pt>
                      <c:pt idx="2">
                        <c:v>190</c:v>
                      </c:pt>
                      <c:pt idx="3">
                        <c:v>180</c:v>
                      </c:pt>
                      <c:pt idx="4">
                        <c:v>171</c:v>
                      </c:pt>
                      <c:pt idx="5">
                        <c:v>175</c:v>
                      </c:pt>
                      <c:pt idx="6">
                        <c:v>182</c:v>
                      </c:pt>
                      <c:pt idx="7">
                        <c:v>186</c:v>
                      </c:pt>
                    </c:numCache>
                  </c:numRef>
                </c:yVal>
                <c:smooth val="0"/>
                <c:extLst xmlns:c15="http://schemas.microsoft.com/office/drawing/2012/chart">
                  <c:ext xmlns:c15="http://schemas.microsoft.com/office/drawing/2012/chart" uri="{02D57815-91ED-43cb-92C2-25804820EDAC}">
                    <c15:datalabelsRange>
                      <c15:f>'November 2022 Data'!$A$14:$A$21</c15:f>
                      <c15:dlblRangeCache>
                        <c:ptCount val="8"/>
                        <c:pt idx="0">
                          <c:v>Kotonowaka</c:v>
                        </c:pt>
                        <c:pt idx="1">
                          <c:v>Takayasu</c:v>
                        </c:pt>
                        <c:pt idx="2">
                          <c:v>Ichinojo</c:v>
                        </c:pt>
                        <c:pt idx="3">
                          <c:v>Meisei</c:v>
                        </c:pt>
                        <c:pt idx="4">
                          <c:v>Midorifuji</c:v>
                        </c:pt>
                        <c:pt idx="5">
                          <c:v>Ura</c:v>
                        </c:pt>
                        <c:pt idx="6">
                          <c:v>Sadanoumi</c:v>
                        </c:pt>
                        <c:pt idx="7">
                          <c:v>Wakamotoharu</c:v>
                        </c:pt>
                      </c15:dlblRangeCache>
                    </c15:datalabelsRange>
                  </c:ext>
                  <c:ext xmlns:c16="http://schemas.microsoft.com/office/drawing/2014/chart" uri="{C3380CC4-5D6E-409C-BE32-E72D297353CC}">
                    <c16:uniqueId val="{00000016-BC40-409B-8FF6-7A42A2E83035}"/>
                  </c:ext>
                </c:extLst>
              </c15:ser>
            </c15:filteredScatterSeries>
            <c15:filteredScatterSeries>
              <c15:ser>
                <c:idx val="5"/>
                <c:order val="5"/>
                <c:tx>
                  <c:v>M05-08</c:v>
                </c:tx>
                <c:spPr>
                  <a:ln w="25400" cap="rnd">
                    <a:noFill/>
                    <a:round/>
                  </a:ln>
                  <a:effectLst/>
                </c:spPr>
                <c:marker>
                  <c:symbol val="circle"/>
                  <c:size val="5"/>
                  <c:spPr>
                    <a:solidFill>
                      <a:schemeClr val="accent2">
                        <a:alpha val="76000"/>
                      </a:schemeClr>
                    </a:solidFill>
                    <a:ln w="9525">
                      <a:noFill/>
                    </a:ln>
                    <a:effectLst/>
                  </c:spPr>
                </c:marker>
                <c:dLbls>
                  <c:dLbl>
                    <c:idx val="0"/>
                    <c:layout>
                      <c:manualLayout>
                        <c:x val="-2.7849986790588529E-2"/>
                        <c:y val="-2.8276135387026894E-2"/>
                      </c:manualLayout>
                    </c:layout>
                    <c:tx>
                      <c:rich>
                        <a:bodyPr/>
                        <a:lstStyle/>
                        <a:p>
                          <a:fld id="{818F8679-3C61-4CBA-BB82-80C60299573A}"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7-BC40-409B-8FF6-7A42A2E83035}"/>
                      </c:ext>
                    </c:extLst>
                  </c:dLbl>
                  <c:dLbl>
                    <c:idx val="1"/>
                    <c:tx>
                      <c:rich>
                        <a:bodyPr/>
                        <a:lstStyle/>
                        <a:p>
                          <a:fld id="{0BA68A34-B51D-4D50-8667-20276BB26D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C40-409B-8FF6-7A42A2E83035}"/>
                      </c:ext>
                    </c:extLst>
                  </c:dLbl>
                  <c:dLbl>
                    <c:idx val="2"/>
                    <c:layout>
                      <c:manualLayout>
                        <c:x val="1.7589465341424332E-2"/>
                        <c:y val="4.443392703675636E-2"/>
                      </c:manualLayout>
                    </c:layout>
                    <c:tx>
                      <c:rich>
                        <a:bodyPr/>
                        <a:lstStyle/>
                        <a:p>
                          <a:fld id="{BD06F59B-FABA-4F86-811F-01DB722AC15C}"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9-BC40-409B-8FF6-7A42A2E83035}"/>
                      </c:ext>
                    </c:extLst>
                  </c:dLbl>
                  <c:dLbl>
                    <c:idx val="3"/>
                    <c:layout>
                      <c:manualLayout>
                        <c:x val="1.4657887784519741E-3"/>
                        <c:y val="1.6157791649729612E-2"/>
                      </c:manualLayout>
                    </c:layout>
                    <c:tx>
                      <c:rich>
                        <a:bodyPr/>
                        <a:lstStyle/>
                        <a:p>
                          <a:fld id="{E83A00D7-AE7E-42E1-9043-7C2F7F767F11}"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A-BC40-409B-8FF6-7A42A2E83035}"/>
                      </c:ext>
                    </c:extLst>
                  </c:dLbl>
                  <c:dLbl>
                    <c:idx val="4"/>
                    <c:tx>
                      <c:rich>
                        <a:bodyPr/>
                        <a:lstStyle/>
                        <a:p>
                          <a:fld id="{05B34FAC-0220-43DE-9587-E037F2871C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C40-409B-8FF6-7A42A2E83035}"/>
                      </c:ext>
                    </c:extLst>
                  </c:dLbl>
                  <c:dLbl>
                    <c:idx val="5"/>
                    <c:layout>
                      <c:manualLayout>
                        <c:x val="-8.2084171593313604E-2"/>
                        <c:y val="0"/>
                      </c:manualLayout>
                    </c:layout>
                    <c:tx>
                      <c:rich>
                        <a:bodyPr/>
                        <a:lstStyle/>
                        <a:p>
                          <a:fld id="{B2C29303-9A51-4F4A-AE82-95B650A6377F}"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C-BC40-409B-8FF6-7A42A2E83035}"/>
                      </c:ext>
                    </c:extLst>
                  </c:dLbl>
                  <c:dLbl>
                    <c:idx val="6"/>
                    <c:tx>
                      <c:rich>
                        <a:bodyPr/>
                        <a:lstStyle/>
                        <a:p>
                          <a:fld id="{2D04C533-C309-4575-84F1-35F6FA1EF7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C40-409B-8FF6-7A42A2E83035}"/>
                      </c:ext>
                    </c:extLst>
                  </c:dLbl>
                  <c:dLbl>
                    <c:idx val="7"/>
                    <c:layout>
                      <c:manualLayout>
                        <c:x val="-4.1042085796656885E-2"/>
                        <c:y val="-4.0394479124324048E-2"/>
                      </c:manualLayout>
                    </c:layout>
                    <c:tx>
                      <c:rich>
                        <a:bodyPr/>
                        <a:lstStyle/>
                        <a:p>
                          <a:fld id="{10B557BC-403B-4151-817A-739E583A25AB}"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E-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'November 2022 Data'!$H$22:$H$29</c15:sqref>
                        </c15:formulaRef>
                      </c:ext>
                    </c:extLst>
                    <c:numCache>
                      <c:formatCode>General</c:formatCode>
                      <c:ptCount val="8"/>
                      <c:pt idx="0">
                        <c:v>161</c:v>
                      </c:pt>
                      <c:pt idx="1">
                        <c:v>148</c:v>
                      </c:pt>
                      <c:pt idx="2">
                        <c:v>170</c:v>
                      </c:pt>
                      <c:pt idx="3">
                        <c:v>154</c:v>
                      </c:pt>
                      <c:pt idx="4">
                        <c:v>149</c:v>
                      </c:pt>
                      <c:pt idx="5">
                        <c:v>154</c:v>
                      </c:pt>
                      <c:pt idx="6">
                        <c:v>166</c:v>
                      </c:pt>
                      <c:pt idx="7">
                        <c:v>179</c:v>
                      </c:pt>
                    </c:numCache>
                  </c:numRef>
                </c:xVal>
                <c:yVal>
                  <c:numRef>
                    <c:extLst xmlns:c15="http://schemas.microsoft.com/office/drawing/2012/chart">
                      <c:ext xmlns:c15="http://schemas.microsoft.com/office/drawing/2012/chart" uri="{02D57815-91ED-43cb-92C2-25804820EDAC}">
                        <c15:formulaRef>
                          <c15:sqref>'November 2022 Data'!$G$22:$G$29</c15:sqref>
                        </c15:formulaRef>
                      </c:ext>
                    </c:extLst>
                    <c:numCache>
                      <c:formatCode>General</c:formatCode>
                      <c:ptCount val="8"/>
                      <c:pt idx="0">
                        <c:v>184</c:v>
                      </c:pt>
                      <c:pt idx="1">
                        <c:v>184</c:v>
                      </c:pt>
                      <c:pt idx="2">
                        <c:v>184</c:v>
                      </c:pt>
                      <c:pt idx="3">
                        <c:v>187</c:v>
                      </c:pt>
                      <c:pt idx="4">
                        <c:v>183</c:v>
                      </c:pt>
                      <c:pt idx="5">
                        <c:v>189</c:v>
                      </c:pt>
                      <c:pt idx="6">
                        <c:v>186</c:v>
                      </c:pt>
                      <c:pt idx="7">
                        <c:v>192</c:v>
                      </c:pt>
                    </c:numCache>
                  </c:numRef>
                </c:yVal>
                <c:smooth val="0"/>
                <c:extLst xmlns:c15="http://schemas.microsoft.com/office/drawing/2012/chart">
                  <c:ext xmlns:c15="http://schemas.microsoft.com/office/drawing/2012/chart" uri="{02D57815-91ED-43cb-92C2-25804820EDAC}">
                    <c15:datalabelsRange>
                      <c15:f>'November 2022 Data'!$A$22:$A$29</c15:f>
                      <c15:dlblRangeCache>
                        <c:ptCount val="8"/>
                        <c:pt idx="0">
                          <c:v>Hokutofuji</c:v>
                        </c:pt>
                        <c:pt idx="1">
                          <c:v>Nishikifuji</c:v>
                        </c:pt>
                        <c:pt idx="2">
                          <c:v>Nishikigi</c:v>
                        </c:pt>
                        <c:pt idx="3">
                          <c:v>Ryuden</c:v>
                        </c:pt>
                        <c:pt idx="4">
                          <c:v>Endo</c:v>
                        </c:pt>
                        <c:pt idx="5">
                          <c:v>Myogiryu</c:v>
                        </c:pt>
                        <c:pt idx="6">
                          <c:v>Takarafuji</c:v>
                        </c:pt>
                        <c:pt idx="7">
                          <c:v>Tochinoshin</c:v>
                        </c:pt>
                      </c15:dlblRangeCache>
                    </c15:datalabelsRange>
                  </c:ext>
                  <c:ext xmlns:c16="http://schemas.microsoft.com/office/drawing/2014/chart" uri="{C3380CC4-5D6E-409C-BE32-E72D297353CC}">
                    <c16:uniqueId val="{0000001F-BC40-409B-8FF6-7A42A2E83035}"/>
                  </c:ext>
                </c:extLst>
              </c15:ser>
            </c15:filteredScatterSeries>
          </c:ext>
        </c:extLst>
      </c:scatterChart>
      <c:valAx>
        <c:axId val="745971600"/>
        <c:scaling>
          <c:orientation val="minMax"/>
          <c:max val="22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min val="17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January 2023 Makuuchi Wrestlers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72178186362232E-2"/>
          <c:y val="7.6969294470663738E-2"/>
          <c:w val="0.81188907136193378"/>
          <c:h val="0.85594431898299383"/>
        </c:manualLayout>
      </c:layout>
      <c:scatterChart>
        <c:scatterStyle val="lineMarker"/>
        <c:varyColors val="0"/>
        <c:ser>
          <c:idx val="0"/>
          <c:order val="0"/>
          <c:tx>
            <c:strRef>
              <c:f>'September 2022 Data'!$C$4</c:f>
              <c:strCache>
                <c:ptCount val="1"/>
                <c:pt idx="0">
                  <c:v>Yokozuna</c:v>
                </c:pt>
              </c:strCache>
            </c:strRef>
          </c:tx>
          <c:spPr>
            <a:ln w="25400" cap="rnd">
              <a:noFill/>
              <a:round/>
            </a:ln>
            <a:effectLst/>
          </c:spPr>
          <c:marker>
            <c:symbol val="circle"/>
            <c:size val="20"/>
            <c:spPr>
              <a:solidFill>
                <a:schemeClr val="accent1"/>
              </a:solidFill>
              <a:ln w="9525">
                <a:solidFill>
                  <a:schemeClr val="accent6">
                    <a:lumMod val="60000"/>
                    <a:alpha val="85000"/>
                  </a:schemeClr>
                </a:solidFill>
              </a:ln>
              <a:effectLst/>
            </c:spPr>
          </c:marker>
          <c:dLbls>
            <c:dLbl>
              <c:idx val="0"/>
              <c:layout>
                <c:manualLayout>
                  <c:x val="-9.8258472786883502E-2"/>
                  <c:y val="-1.6202531645569639E-2"/>
                </c:manualLayout>
              </c:layout>
              <c:tx>
                <c:rich>
                  <a:bodyPr/>
                  <a:lstStyle/>
                  <a:p>
                    <a:fld id="{9046675E-5EFE-429D-BFDF-CBD166ADA8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Data'!$H$4</c:f>
              <c:numCache>
                <c:formatCode>General</c:formatCode>
                <c:ptCount val="1"/>
                <c:pt idx="0">
                  <c:v>181</c:v>
                </c:pt>
              </c:numCache>
            </c:numRef>
          </c:xVal>
          <c:yVal>
            <c:numRef>
              <c:f>'January 2023 Data'!$H$4</c:f>
              <c:numCache>
                <c:formatCode>General</c:formatCode>
                <c:ptCount val="1"/>
                <c:pt idx="0">
                  <c:v>192</c:v>
                </c:pt>
              </c:numCache>
            </c:numRef>
          </c:yVal>
          <c:smooth val="0"/>
          <c:extLst>
            <c:ext xmlns:c15="http://schemas.microsoft.com/office/drawing/2012/chart" uri="{02D57815-91ED-43cb-92C2-25804820EDAC}">
              <c15:datalabelsRange>
                <c15:f>'January 2023 Data'!$A$4</c15:f>
                <c15:dlblRangeCache>
                  <c:ptCount val="1"/>
                  <c:pt idx="0">
                    <c:v>Terunofuji</c:v>
                  </c:pt>
                </c15:dlblRangeCache>
              </c15:datalabelsRange>
            </c:ext>
            <c:ext xmlns:c16="http://schemas.microsoft.com/office/drawing/2014/chart" uri="{C3380CC4-5D6E-409C-BE32-E72D297353CC}">
              <c16:uniqueId val="{00000001-4ACB-455E-9A96-A98653FFCF61}"/>
            </c:ext>
          </c:extLst>
        </c:ser>
        <c:ser>
          <c:idx val="1"/>
          <c:order val="1"/>
          <c:tx>
            <c:strRef>
              <c:f>'September 2022 Data'!$C$5</c:f>
              <c:strCache>
                <c:ptCount val="1"/>
                <c:pt idx="0">
                  <c:v>Ozeki</c:v>
                </c:pt>
              </c:strCache>
            </c:strRef>
          </c:tx>
          <c:spPr>
            <a:ln w="25400" cap="rnd">
              <a:noFill/>
              <a:round/>
            </a:ln>
            <a:effectLst/>
          </c:spPr>
          <c:marker>
            <c:symbol val="circle"/>
            <c:size val="11"/>
            <c:spPr>
              <a:solidFill>
                <a:schemeClr val="accent2"/>
              </a:solidFill>
              <a:ln w="9525">
                <a:solidFill>
                  <a:schemeClr val="accent6">
                    <a:lumMod val="60000"/>
                  </a:schemeClr>
                </a:solidFill>
              </a:ln>
              <a:effectLst/>
            </c:spPr>
          </c:marker>
          <c:dLbls>
            <c:dLbl>
              <c:idx val="0"/>
              <c:tx>
                <c:rich>
                  <a:bodyPr/>
                  <a:lstStyle/>
                  <a:p>
                    <a:fld id="{7CDE599B-8123-4C01-B667-7F1078D755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Data'!$I$5</c:f>
              <c:numCache>
                <c:formatCode>General</c:formatCode>
                <c:ptCount val="1"/>
                <c:pt idx="0">
                  <c:v>165</c:v>
                </c:pt>
              </c:numCache>
            </c:numRef>
          </c:xVal>
          <c:yVal>
            <c:numRef>
              <c:f>'January 2023 Data'!$H$5</c:f>
              <c:numCache>
                <c:formatCode>General</c:formatCode>
                <c:ptCount val="1"/>
                <c:pt idx="0">
                  <c:v>175</c:v>
                </c:pt>
              </c:numCache>
            </c:numRef>
          </c:yVal>
          <c:smooth val="0"/>
          <c:extLst>
            <c:ext xmlns:c15="http://schemas.microsoft.com/office/drawing/2012/chart" uri="{02D57815-91ED-43cb-92C2-25804820EDAC}">
              <c15:datalabelsRange>
                <c15:f>'November 2022 Data'!$A$5:$A$6</c15:f>
                <c15:dlblRangeCache>
                  <c:ptCount val="2"/>
                  <c:pt idx="0">
                    <c:v>Takakeisho</c:v>
                  </c:pt>
                  <c:pt idx="1">
                    <c:v>Shodai</c:v>
                  </c:pt>
                </c15:dlblRangeCache>
              </c15:datalabelsRange>
            </c:ext>
            <c:ext xmlns:c16="http://schemas.microsoft.com/office/drawing/2014/chart" uri="{C3380CC4-5D6E-409C-BE32-E72D297353CC}">
              <c16:uniqueId val="{00000003-4ACB-455E-9A96-A98653FFCF61}"/>
            </c:ext>
          </c:extLst>
        </c:ser>
        <c:ser>
          <c:idx val="2"/>
          <c:order val="2"/>
          <c:tx>
            <c:strRef>
              <c:f>'September 2022 Data'!$C$8</c:f>
              <c:strCache>
                <c:ptCount val="1"/>
                <c:pt idx="0">
                  <c:v>Sekiwake</c:v>
                </c:pt>
              </c:strCache>
            </c:strRef>
          </c:tx>
          <c:spPr>
            <a:ln w="25400" cap="rnd">
              <a:noFill/>
              <a:round/>
            </a:ln>
            <a:effectLst/>
          </c:spPr>
          <c:marker>
            <c:symbol val="circle"/>
            <c:size val="15"/>
            <c:spPr>
              <a:solidFill>
                <a:schemeClr val="accent3"/>
              </a:solidFill>
              <a:ln w="9525">
                <a:solidFill>
                  <a:schemeClr val="accent6">
                    <a:lumMod val="60000"/>
                  </a:schemeClr>
                </a:solidFill>
              </a:ln>
              <a:effectLst/>
            </c:spPr>
          </c:marker>
          <c:dLbls>
            <c:dLbl>
              <c:idx val="0"/>
              <c:tx>
                <c:rich>
                  <a:bodyPr/>
                  <a:lstStyle/>
                  <a:p>
                    <a:fld id="{20741A09-94B7-460A-9895-793BB3FCA7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ACB-455E-9A96-A98653FFCF61}"/>
                </c:ext>
              </c:extLst>
            </c:dLbl>
            <c:dLbl>
              <c:idx val="1"/>
              <c:layout>
                <c:manualLayout>
                  <c:x val="-0.12465627144604627"/>
                  <c:y val="4.0506329113924053E-3"/>
                </c:manualLayout>
              </c:layout>
              <c:tx>
                <c:rich>
                  <a:bodyPr/>
                  <a:lstStyle/>
                  <a:p>
                    <a:fld id="{762FF390-3A4E-49FA-B419-EC8279FE58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4ACB-455E-9A96-A98653FFCF61}"/>
                </c:ext>
              </c:extLst>
            </c:dLbl>
            <c:dLbl>
              <c:idx val="2"/>
              <c:layout>
                <c:manualLayout>
                  <c:x val="-1.4665443699534906E-2"/>
                  <c:y val="2.8354430379746835E-2"/>
                </c:manualLayout>
              </c:layout>
              <c:tx>
                <c:rich>
                  <a:bodyPr/>
                  <a:lstStyle/>
                  <a:p>
                    <a:fld id="{FF87460B-8AE1-452E-A0B5-9EE949FB2A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4ACB-455E-9A96-A98653FFCF61}"/>
                </c:ext>
              </c:extLst>
            </c:dLbl>
            <c:dLbl>
              <c:idx val="3"/>
              <c:tx>
                <c:rich>
                  <a:bodyPr/>
                  <a:lstStyle/>
                  <a:p>
                    <a:fld id="{794ABB14-BFE5-4410-9747-856043626D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Data'!$I$6:$I$9</c:f>
              <c:numCache>
                <c:formatCode>General</c:formatCode>
                <c:ptCount val="4"/>
                <c:pt idx="0">
                  <c:v>163</c:v>
                </c:pt>
                <c:pt idx="1">
                  <c:v>135</c:v>
                </c:pt>
                <c:pt idx="2">
                  <c:v>146</c:v>
                </c:pt>
                <c:pt idx="3">
                  <c:v>182</c:v>
                </c:pt>
              </c:numCache>
            </c:numRef>
          </c:xVal>
          <c:yVal>
            <c:numRef>
              <c:f>'January 2023 Data'!$H$6:$H$9</c:f>
              <c:numCache>
                <c:formatCode>General</c:formatCode>
                <c:ptCount val="4"/>
                <c:pt idx="0">
                  <c:v>183</c:v>
                </c:pt>
                <c:pt idx="1">
                  <c:v>183</c:v>
                </c:pt>
                <c:pt idx="2">
                  <c:v>185</c:v>
                </c:pt>
                <c:pt idx="3">
                  <c:v>186</c:v>
                </c:pt>
              </c:numCache>
            </c:numRef>
          </c:yVal>
          <c:smooth val="0"/>
          <c:extLst>
            <c:ext xmlns:c15="http://schemas.microsoft.com/office/drawing/2012/chart" uri="{02D57815-91ED-43cb-92C2-25804820EDAC}">
              <c15:datalabelsRange>
                <c15:f>'January 2023 Data'!$A$6:$A$9</c15:f>
                <c15:dlblRangeCache>
                  <c:ptCount val="4"/>
                  <c:pt idx="0">
                    <c:v>Shodai</c:v>
                  </c:pt>
                  <c:pt idx="1">
                    <c:v>Wakatakakage</c:v>
                  </c:pt>
                  <c:pt idx="2">
                    <c:v>Hoshoryu</c:v>
                  </c:pt>
                  <c:pt idx="3">
                    <c:v>Takayasu</c:v>
                  </c:pt>
                </c15:dlblRangeCache>
              </c15:datalabelsRange>
            </c:ext>
            <c:ext xmlns:c16="http://schemas.microsoft.com/office/drawing/2014/chart" uri="{C3380CC4-5D6E-409C-BE32-E72D297353CC}">
              <c16:uniqueId val="{00000008-4ACB-455E-9A96-A98653FFCF61}"/>
            </c:ext>
          </c:extLst>
        </c:ser>
        <c:ser>
          <c:idx val="3"/>
          <c:order val="3"/>
          <c:tx>
            <c:strRef>
              <c:f>'September 2022 Data'!$C$11</c:f>
              <c:strCache>
                <c:ptCount val="1"/>
                <c:pt idx="0">
                  <c:v>Komusubi</c:v>
                </c:pt>
              </c:strCache>
            </c:strRef>
          </c:tx>
          <c:spPr>
            <a:ln w="25400" cap="rnd">
              <a:noFill/>
              <a:round/>
            </a:ln>
            <a:effectLst/>
          </c:spPr>
          <c:marker>
            <c:symbol val="circle"/>
            <c:size val="12"/>
            <c:spPr>
              <a:solidFill>
                <a:schemeClr val="accent4"/>
              </a:solidFill>
              <a:ln w="9525">
                <a:solidFill>
                  <a:schemeClr val="accent6">
                    <a:lumMod val="60000"/>
                  </a:schemeClr>
                </a:solidFill>
              </a:ln>
              <a:effectLst/>
            </c:spPr>
          </c:marker>
          <c:dLbls>
            <c:dLbl>
              <c:idx val="0"/>
              <c:layout>
                <c:manualLayout>
                  <c:x val="-6.746104101786031E-2"/>
                  <c:y val="-2.0253164556962026E-2"/>
                </c:manualLayout>
              </c:layout>
              <c:tx>
                <c:rich>
                  <a:bodyPr/>
                  <a:lstStyle/>
                  <a:p>
                    <a:fld id="{708EF73C-29F4-4232-80DB-0A06AC16AE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4ACB-455E-9A96-A98653FFCF61}"/>
                </c:ext>
              </c:extLst>
            </c:dLbl>
            <c:dLbl>
              <c:idx val="1"/>
              <c:layout>
                <c:manualLayout>
                  <c:x val="-5.1329052948372034E-2"/>
                  <c:y val="3.4430379746835403E-2"/>
                </c:manualLayout>
              </c:layout>
              <c:tx>
                <c:rich>
                  <a:bodyPr/>
                  <a:lstStyle/>
                  <a:p>
                    <a:fld id="{99C86B6A-26D9-42A9-9D1A-1953C73969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4ACB-455E-9A96-A98653FFCF61}"/>
                </c:ext>
              </c:extLst>
            </c:dLbl>
            <c:dLbl>
              <c:idx val="2"/>
              <c:tx>
                <c:rich>
                  <a:bodyPr/>
                  <a:lstStyle/>
                  <a:p>
                    <a:fld id="{E56EC0F2-5264-42D9-A20F-FD81D47DB2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ACB-455E-9A96-A98653FFCF61}"/>
                </c:ext>
              </c:extLst>
            </c:dLbl>
            <c:dLbl>
              <c:idx val="3"/>
              <c:tx>
                <c:rich>
                  <a:bodyPr/>
                  <a:lstStyle/>
                  <a:p>
                    <a:fld id="{AA9F4BDD-7251-4999-AB55-A8F368966B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Data'!$I$10:$I$13</c:f>
              <c:numCache>
                <c:formatCode>General</c:formatCode>
                <c:ptCount val="4"/>
                <c:pt idx="0">
                  <c:v>142</c:v>
                </c:pt>
                <c:pt idx="1">
                  <c:v>172</c:v>
                </c:pt>
                <c:pt idx="2">
                  <c:v>158</c:v>
                </c:pt>
                <c:pt idx="3">
                  <c:v>146</c:v>
                </c:pt>
              </c:numCache>
            </c:numRef>
          </c:xVal>
          <c:yVal>
            <c:numRef>
              <c:f>'January 2023 Data'!$H$10:$H$13</c:f>
              <c:numCache>
                <c:formatCode>General</c:formatCode>
                <c:ptCount val="4"/>
                <c:pt idx="0">
                  <c:v>185</c:v>
                </c:pt>
                <c:pt idx="1">
                  <c:v>189</c:v>
                </c:pt>
                <c:pt idx="2">
                  <c:v>180</c:v>
                </c:pt>
                <c:pt idx="3">
                  <c:v>186</c:v>
                </c:pt>
              </c:numCache>
            </c:numRef>
          </c:yVal>
          <c:smooth val="0"/>
          <c:extLst>
            <c:ext xmlns:c15="http://schemas.microsoft.com/office/drawing/2012/chart" uri="{02D57815-91ED-43cb-92C2-25804820EDAC}">
              <c15:datalabelsRange>
                <c15:f>'January 2023 Data'!$A$10:$A$13</c15:f>
                <c15:dlblRangeCache>
                  <c:ptCount val="4"/>
                  <c:pt idx="0">
                    <c:v>Kiribayama</c:v>
                  </c:pt>
                  <c:pt idx="1">
                    <c:v>Kotonowaka</c:v>
                  </c:pt>
                  <c:pt idx="2">
                    <c:v>Meisei</c:v>
                  </c:pt>
                  <c:pt idx="3">
                    <c:v>Wakamotoharu</c:v>
                  </c:pt>
                </c15:dlblRangeCache>
              </c15:datalabelsRange>
            </c:ext>
            <c:ext xmlns:c16="http://schemas.microsoft.com/office/drawing/2014/chart" uri="{C3380CC4-5D6E-409C-BE32-E72D297353CC}">
              <c16:uniqueId val="{0000000D-4ACB-455E-9A96-A98653FFCF61}"/>
            </c:ext>
          </c:extLst>
        </c:ser>
        <c:ser>
          <c:idx val="4"/>
          <c:order val="4"/>
          <c:tx>
            <c:v>M01-04</c:v>
          </c:tx>
          <c:spPr>
            <a:ln w="25400" cap="rnd">
              <a:noFill/>
              <a:round/>
            </a:ln>
            <a:effectLst/>
          </c:spPr>
          <c:marker>
            <c:symbol val="circle"/>
            <c:size val="10"/>
            <c:spPr>
              <a:solidFill>
                <a:schemeClr val="accent1">
                  <a:alpha val="73000"/>
                </a:schemeClr>
              </a:solidFill>
              <a:ln w="9525">
                <a:solidFill>
                  <a:schemeClr val="tx1">
                    <a:lumMod val="50000"/>
                    <a:lumOff val="50000"/>
                  </a:schemeClr>
                </a:solidFill>
              </a:ln>
              <a:effectLst/>
            </c:spPr>
          </c:marker>
          <c:dLbls>
            <c:dLbl>
              <c:idx val="0"/>
              <c:tx>
                <c:rich>
                  <a:bodyPr/>
                  <a:lstStyle/>
                  <a:p>
                    <a:fld id="{69108CED-47F0-4C8D-9684-6F5010EC31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ACB-455E-9A96-A98653FFCF61}"/>
                </c:ext>
              </c:extLst>
            </c:dLbl>
            <c:dLbl>
              <c:idx val="1"/>
              <c:tx>
                <c:rich>
                  <a:bodyPr/>
                  <a:lstStyle/>
                  <a:p>
                    <a:fld id="{10757808-A246-4546-B2BA-9EF5CDB023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ACB-455E-9A96-A98653FFCF61}"/>
                </c:ext>
              </c:extLst>
            </c:dLbl>
            <c:dLbl>
              <c:idx val="2"/>
              <c:tx>
                <c:rich>
                  <a:bodyPr/>
                  <a:lstStyle/>
                  <a:p>
                    <a:fld id="{885A0C4A-C06B-44DF-AD89-EEA2C5AFFD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ACB-455E-9A96-A98653FFCF61}"/>
                </c:ext>
              </c:extLst>
            </c:dLbl>
            <c:dLbl>
              <c:idx val="3"/>
              <c:layout>
                <c:manualLayout>
                  <c:x val="-2.1998165549302385E-2"/>
                  <c:y val="-4.860759493670886E-2"/>
                </c:manualLayout>
              </c:layout>
              <c:tx>
                <c:rich>
                  <a:bodyPr/>
                  <a:lstStyle/>
                  <a:p>
                    <a:fld id="{372196E6-49FD-4FD1-913D-0C5F829E10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4ACB-455E-9A96-A98653FFCF61}"/>
                </c:ext>
              </c:extLst>
            </c:dLbl>
            <c:dLbl>
              <c:idx val="4"/>
              <c:tx>
                <c:rich>
                  <a:bodyPr/>
                  <a:lstStyle/>
                  <a:p>
                    <a:fld id="{D23E8017-94A7-401E-B63A-C81AFBE530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ACB-455E-9A96-A98653FFCF61}"/>
                </c:ext>
              </c:extLst>
            </c:dLbl>
            <c:dLbl>
              <c:idx val="5"/>
              <c:tx>
                <c:rich>
                  <a:bodyPr/>
                  <a:lstStyle/>
                  <a:p>
                    <a:fld id="{ED57870B-A009-4DDE-8999-CFC3A3FAE9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ACB-455E-9A96-A98653FFCF61}"/>
                </c:ext>
              </c:extLst>
            </c:dLbl>
            <c:dLbl>
              <c:idx val="6"/>
              <c:tx>
                <c:rich>
                  <a:bodyPr/>
                  <a:lstStyle/>
                  <a:p>
                    <a:fld id="{DBA3584B-1DD0-44AF-A1B3-29EC678125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ACB-455E-9A96-A98653FFCF61}"/>
                </c:ext>
              </c:extLst>
            </c:dLbl>
            <c:dLbl>
              <c:idx val="7"/>
              <c:layout>
                <c:manualLayout>
                  <c:x val="-7.3327218497674261E-3"/>
                  <c:y val="-3.0379746835443037E-2"/>
                </c:manualLayout>
              </c:layout>
              <c:tx>
                <c:rich>
                  <a:bodyPr/>
                  <a:lstStyle/>
                  <a:p>
                    <a:fld id="{D8BAA998-4F5F-42C6-9B1A-746361EB22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Data'!$I$14:$I$21</c:f>
              <c:numCache>
                <c:formatCode>General</c:formatCode>
                <c:ptCount val="8"/>
                <c:pt idx="0">
                  <c:v>165</c:v>
                </c:pt>
                <c:pt idx="1">
                  <c:v>130</c:v>
                </c:pt>
                <c:pt idx="2">
                  <c:v>174</c:v>
                </c:pt>
                <c:pt idx="3">
                  <c:v>174</c:v>
                </c:pt>
                <c:pt idx="4">
                  <c:v>117</c:v>
                </c:pt>
                <c:pt idx="5">
                  <c:v>159</c:v>
                </c:pt>
                <c:pt idx="6">
                  <c:v>144</c:v>
                </c:pt>
                <c:pt idx="7">
                  <c:v>155</c:v>
                </c:pt>
              </c:numCache>
            </c:numRef>
          </c:xVal>
          <c:yVal>
            <c:numRef>
              <c:f>'January 2023 Data'!$H$14:$H$21</c:f>
              <c:numCache>
                <c:formatCode>General</c:formatCode>
                <c:ptCount val="8"/>
                <c:pt idx="0">
                  <c:v>182</c:v>
                </c:pt>
                <c:pt idx="1">
                  <c:v>174</c:v>
                </c:pt>
                <c:pt idx="2">
                  <c:v>179</c:v>
                </c:pt>
                <c:pt idx="3">
                  <c:v>189</c:v>
                </c:pt>
                <c:pt idx="4">
                  <c:v>171</c:v>
                </c:pt>
                <c:pt idx="5">
                  <c:v>187</c:v>
                </c:pt>
                <c:pt idx="6">
                  <c:v>182</c:v>
                </c:pt>
                <c:pt idx="7">
                  <c:v>184</c:v>
                </c:pt>
              </c:numCache>
            </c:numRef>
          </c:yVal>
          <c:smooth val="0"/>
          <c:extLst>
            <c:ext xmlns:c15="http://schemas.microsoft.com/office/drawing/2012/chart" uri="{02D57815-91ED-43cb-92C2-25804820EDAC}">
              <c15:datalabelsRange>
                <c15:f>'January 2023 Data'!$A$14:$A$21</c15:f>
                <c15:dlblRangeCache>
                  <c:ptCount val="8"/>
                  <c:pt idx="0">
                    <c:v>Daieisho</c:v>
                  </c:pt>
                  <c:pt idx="1">
                    <c:v>Tobizaru</c:v>
                  </c:pt>
                  <c:pt idx="2">
                    <c:v>Mitakeumi</c:v>
                  </c:pt>
                  <c:pt idx="3">
                    <c:v>Tamawashi</c:v>
                  </c:pt>
                  <c:pt idx="4">
                    <c:v>Midorifuji</c:v>
                  </c:pt>
                  <c:pt idx="5">
                    <c:v>Abi</c:v>
                  </c:pt>
                  <c:pt idx="6">
                    <c:v>Sadanoumi</c:v>
                  </c:pt>
                  <c:pt idx="7">
                    <c:v>Nishikifuji</c:v>
                  </c:pt>
                </c15:dlblRangeCache>
              </c15:datalabelsRange>
            </c:ext>
            <c:ext xmlns:c16="http://schemas.microsoft.com/office/drawing/2014/chart" uri="{C3380CC4-5D6E-409C-BE32-E72D297353CC}">
              <c16:uniqueId val="{00000016-4ACB-455E-9A96-A98653FFCF61}"/>
            </c:ext>
          </c:extLst>
        </c:ser>
        <c:ser>
          <c:idx val="5"/>
          <c:order val="5"/>
          <c:tx>
            <c:v>M05-08</c:v>
          </c:tx>
          <c:spPr>
            <a:ln w="25400" cap="rnd">
              <a:noFill/>
              <a:round/>
            </a:ln>
            <a:effectLst/>
          </c:spPr>
          <c:marker>
            <c:symbol val="circle"/>
            <c:size val="8"/>
            <c:spPr>
              <a:solidFill>
                <a:schemeClr val="accent2">
                  <a:alpha val="76000"/>
                </a:schemeClr>
              </a:solidFill>
              <a:ln w="9525">
                <a:solidFill>
                  <a:schemeClr val="tx1">
                    <a:lumMod val="50000"/>
                    <a:lumOff val="50000"/>
                  </a:schemeClr>
                </a:solidFill>
              </a:ln>
              <a:effectLst/>
            </c:spPr>
          </c:marker>
          <c:dLbls>
            <c:dLbl>
              <c:idx val="0"/>
              <c:tx>
                <c:rich>
                  <a:bodyPr/>
                  <a:lstStyle/>
                  <a:p>
                    <a:fld id="{66848738-EAB6-48E1-A5B6-4006F64E84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ACB-455E-9A96-A98653FFCF61}"/>
                </c:ext>
              </c:extLst>
            </c:dLbl>
            <c:dLbl>
              <c:idx val="1"/>
              <c:layout>
                <c:manualLayout>
                  <c:x val="-7.4793762867627803E-2"/>
                  <c:y val="-2.6329113924050671E-2"/>
                </c:manualLayout>
              </c:layout>
              <c:tx>
                <c:rich>
                  <a:bodyPr/>
                  <a:lstStyle/>
                  <a:p>
                    <a:fld id="{D1A8648E-B266-4793-B877-3DC25121BF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4ACB-455E-9A96-A98653FFCF61}"/>
                </c:ext>
              </c:extLst>
            </c:dLbl>
            <c:dLbl>
              <c:idx val="2"/>
              <c:layout>
                <c:manualLayout>
                  <c:x val="-6.746104101786031E-2"/>
                  <c:y val="6.2784810126582283E-2"/>
                </c:manualLayout>
              </c:layout>
              <c:tx>
                <c:rich>
                  <a:bodyPr/>
                  <a:lstStyle/>
                  <a:p>
                    <a:fld id="{32BB6D93-5126-4A6E-BAF0-277E0909D5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4ACB-455E-9A96-A98653FFCF61}"/>
                </c:ext>
              </c:extLst>
            </c:dLbl>
            <c:dLbl>
              <c:idx val="3"/>
              <c:layout>
                <c:manualLayout>
                  <c:x val="-7.7726851607534772E-2"/>
                  <c:y val="-8.1012658227848106E-3"/>
                </c:manualLayout>
              </c:layout>
              <c:tx>
                <c:rich>
                  <a:bodyPr/>
                  <a:lstStyle/>
                  <a:p>
                    <a:fld id="{E073B240-1B13-4BEA-B6FE-3E24671979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4ACB-455E-9A96-A98653FFCF61}"/>
                </c:ext>
              </c:extLst>
            </c:dLbl>
            <c:dLbl>
              <c:idx val="4"/>
              <c:tx>
                <c:rich>
                  <a:bodyPr/>
                  <a:lstStyle/>
                  <a:p>
                    <a:fld id="{6BADC0EE-E138-4F7B-A40E-A8D496CDCC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ACB-455E-9A96-A98653FFCF61}"/>
                </c:ext>
              </c:extLst>
            </c:dLbl>
            <c:dLbl>
              <c:idx val="5"/>
              <c:tx>
                <c:rich>
                  <a:bodyPr/>
                  <a:lstStyle/>
                  <a:p>
                    <a:fld id="{55388D03-4480-4013-9923-7EA48FD15D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ACB-455E-9A96-A98653FFCF61}"/>
                </c:ext>
              </c:extLst>
            </c:dLbl>
            <c:dLbl>
              <c:idx val="6"/>
              <c:tx>
                <c:rich>
                  <a:bodyPr/>
                  <a:lstStyle/>
                  <a:p>
                    <a:fld id="{E04C102E-6943-4664-B240-35FFE7F878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ACB-455E-9A96-A98653FFCF61}"/>
                </c:ext>
              </c:extLst>
            </c:dLbl>
            <c:dLbl>
              <c:idx val="7"/>
              <c:tx>
                <c:rich>
                  <a:bodyPr/>
                  <a:lstStyle/>
                  <a:p>
                    <a:fld id="{B2F778CF-EDE9-4DCD-9FFC-3EF5BF8F63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Data'!$I$22:$I$29</c:f>
              <c:numCache>
                <c:formatCode>General</c:formatCode>
                <c:ptCount val="8"/>
                <c:pt idx="0">
                  <c:v>179</c:v>
                </c:pt>
                <c:pt idx="1">
                  <c:v>157</c:v>
                </c:pt>
                <c:pt idx="2">
                  <c:v>163</c:v>
                </c:pt>
                <c:pt idx="3">
                  <c:v>157</c:v>
                </c:pt>
                <c:pt idx="4">
                  <c:v>212</c:v>
                </c:pt>
                <c:pt idx="5">
                  <c:v>148</c:v>
                </c:pt>
                <c:pt idx="6">
                  <c:v>165</c:v>
                </c:pt>
                <c:pt idx="7">
                  <c:v>179</c:v>
                </c:pt>
              </c:numCache>
            </c:numRef>
          </c:xVal>
          <c:yVal>
            <c:numRef>
              <c:f>'January 2023 Data'!$H$22:$H$29</c:f>
              <c:numCache>
                <c:formatCode>General</c:formatCode>
                <c:ptCount val="8"/>
                <c:pt idx="0">
                  <c:v>184</c:v>
                </c:pt>
                <c:pt idx="1">
                  <c:v>187</c:v>
                </c:pt>
                <c:pt idx="2">
                  <c:v>184</c:v>
                </c:pt>
                <c:pt idx="3">
                  <c:v>189</c:v>
                </c:pt>
                <c:pt idx="4">
                  <c:v>190</c:v>
                </c:pt>
                <c:pt idx="5">
                  <c:v>175</c:v>
                </c:pt>
                <c:pt idx="6">
                  <c:v>178</c:v>
                </c:pt>
                <c:pt idx="7">
                  <c:v>189</c:v>
                </c:pt>
              </c:numCache>
            </c:numRef>
          </c:yVal>
          <c:smooth val="0"/>
          <c:extLst>
            <c:ext xmlns:c15="http://schemas.microsoft.com/office/drawing/2012/chart" uri="{02D57815-91ED-43cb-92C2-25804820EDAC}">
              <c15:datalabelsRange>
                <c15:f>'January 2023 Data'!$A$22:$A$29</c15:f>
                <c15:dlblRangeCache>
                  <c:ptCount val="8"/>
                  <c:pt idx="0">
                    <c:v>Nishikigi</c:v>
                  </c:pt>
                  <c:pt idx="1">
                    <c:v>Ryuden</c:v>
                  </c:pt>
                  <c:pt idx="2">
                    <c:v>Hokutofuji</c:v>
                  </c:pt>
                  <c:pt idx="3">
                    <c:v>Myogiryu</c:v>
                  </c:pt>
                  <c:pt idx="4">
                    <c:v>Ichinojo</c:v>
                  </c:pt>
                  <c:pt idx="5">
                    <c:v>Ura</c:v>
                  </c:pt>
                  <c:pt idx="6">
                    <c:v>Onosho</c:v>
                  </c:pt>
                  <c:pt idx="7">
                    <c:v>Oho</c:v>
                  </c:pt>
                </c15:dlblRangeCache>
              </c15:datalabelsRange>
            </c:ext>
            <c:ext xmlns:c16="http://schemas.microsoft.com/office/drawing/2014/chart" uri="{C3380CC4-5D6E-409C-BE32-E72D297353CC}">
              <c16:uniqueId val="{0000001F-4ACB-455E-9A96-A98653FFCF61}"/>
            </c:ext>
          </c:extLst>
        </c:ser>
        <c:ser>
          <c:idx val="6"/>
          <c:order val="6"/>
          <c:tx>
            <c:v>M09-12</c:v>
          </c:tx>
          <c:spPr>
            <a:ln w="25400" cap="rnd">
              <a:noFill/>
              <a:round/>
            </a:ln>
            <a:effectLst/>
          </c:spPr>
          <c:marker>
            <c:symbol val="circle"/>
            <c:size val="6"/>
            <c:spPr>
              <a:solidFill>
                <a:schemeClr val="accent3">
                  <a:alpha val="57000"/>
                </a:schemeClr>
              </a:solidFill>
              <a:ln w="9525">
                <a:solidFill>
                  <a:schemeClr val="bg2">
                    <a:lumMod val="75000"/>
                  </a:schemeClr>
                </a:solidFill>
              </a:ln>
              <a:effectLst/>
            </c:spPr>
          </c:marker>
          <c:dLbls>
            <c:dLbl>
              <c:idx val="0"/>
              <c:tx>
                <c:rich>
                  <a:bodyPr/>
                  <a:lstStyle/>
                  <a:p>
                    <a:fld id="{8B1755E5-0D82-43D7-A3CE-35E5A08626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ACB-455E-9A96-A98653FFCF61}"/>
                </c:ext>
              </c:extLst>
            </c:dLbl>
            <c:dLbl>
              <c:idx val="1"/>
              <c:tx>
                <c:rich>
                  <a:bodyPr/>
                  <a:lstStyle/>
                  <a:p>
                    <a:fld id="{0EE6835B-A9AA-4B7E-A04A-03364C65B0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ACB-455E-9A96-A98653FFCF61}"/>
                </c:ext>
              </c:extLst>
            </c:dLbl>
            <c:dLbl>
              <c:idx val="2"/>
              <c:tx>
                <c:rich>
                  <a:bodyPr/>
                  <a:lstStyle/>
                  <a:p>
                    <a:fld id="{F6789C9C-B970-4130-ADAF-C016ECF4CE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ACB-455E-9A96-A98653FFCF61}"/>
                </c:ext>
              </c:extLst>
            </c:dLbl>
            <c:dLbl>
              <c:idx val="3"/>
              <c:tx>
                <c:rich>
                  <a:bodyPr/>
                  <a:lstStyle/>
                  <a:p>
                    <a:fld id="{57BBE8D0-CA64-478F-85C8-CA200A6424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ACB-455E-9A96-A98653FFCF61}"/>
                </c:ext>
              </c:extLst>
            </c:dLbl>
            <c:dLbl>
              <c:idx val="4"/>
              <c:layout>
                <c:manualLayout>
                  <c:x val="4.3996331098604558E-3"/>
                  <c:y val="-2.2278481012658228E-2"/>
                </c:manualLayout>
              </c:layout>
              <c:tx>
                <c:rich>
                  <a:bodyPr/>
                  <a:lstStyle/>
                  <a:p>
                    <a:fld id="{7A471EE3-573F-4F87-8420-8C2FF3FC6F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4ACB-455E-9A96-A98653FFCF61}"/>
                </c:ext>
              </c:extLst>
            </c:dLbl>
            <c:dLbl>
              <c:idx val="5"/>
              <c:layout>
                <c:manualLayout>
                  <c:x val="1.4665443699534851E-3"/>
                  <c:y val="2.0253164556962027E-3"/>
                </c:manualLayout>
              </c:layout>
              <c:tx>
                <c:rich>
                  <a:bodyPr/>
                  <a:lstStyle/>
                  <a:p>
                    <a:fld id="{CC79D912-83E7-48CA-98FD-B4D540171A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4ACB-455E-9A96-A98653FFCF61}"/>
                </c:ext>
              </c:extLst>
            </c:dLbl>
            <c:dLbl>
              <c:idx val="6"/>
              <c:layout>
                <c:manualLayout>
                  <c:x val="-8.2126484717395171E-2"/>
                  <c:y val="-5.8734177215189871E-2"/>
                </c:manualLayout>
              </c:layout>
              <c:tx>
                <c:rich>
                  <a:bodyPr/>
                  <a:lstStyle/>
                  <a:p>
                    <a:fld id="{8F470815-94C4-4DBE-A680-B80B5BB739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4ACB-455E-9A96-A98653FFCF61}"/>
                </c:ext>
              </c:extLst>
            </c:dLbl>
            <c:dLbl>
              <c:idx val="7"/>
              <c:tx>
                <c:rich>
                  <a:bodyPr/>
                  <a:lstStyle/>
                  <a:p>
                    <a:fld id="{3479BC77-D34E-4220-B70D-D0567751A7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Data'!$I$30:$I$37</c:f>
              <c:numCache>
                <c:formatCode>General</c:formatCode>
                <c:ptCount val="8"/>
                <c:pt idx="0">
                  <c:v>150</c:v>
                </c:pt>
                <c:pt idx="1">
                  <c:v>167</c:v>
                </c:pt>
                <c:pt idx="2">
                  <c:v>184</c:v>
                </c:pt>
                <c:pt idx="3">
                  <c:v>138</c:v>
                </c:pt>
                <c:pt idx="4">
                  <c:v>182</c:v>
                </c:pt>
                <c:pt idx="5">
                  <c:v>137</c:v>
                </c:pt>
                <c:pt idx="6">
                  <c:v>161</c:v>
                </c:pt>
                <c:pt idx="7">
                  <c:v>156</c:v>
                </c:pt>
              </c:numCache>
            </c:numRef>
          </c:xVal>
          <c:yVal>
            <c:numRef>
              <c:f>'January 2023 Data'!$H$30:$H$37</c:f>
              <c:numCache>
                <c:formatCode>General</c:formatCode>
                <c:ptCount val="8"/>
                <c:pt idx="0">
                  <c:v>183</c:v>
                </c:pt>
                <c:pt idx="1">
                  <c:v>184</c:v>
                </c:pt>
                <c:pt idx="2">
                  <c:v>190</c:v>
                </c:pt>
                <c:pt idx="3">
                  <c:v>178</c:v>
                </c:pt>
                <c:pt idx="4">
                  <c:v>192</c:v>
                </c:pt>
                <c:pt idx="5">
                  <c:v>183</c:v>
                </c:pt>
                <c:pt idx="6">
                  <c:v>189</c:v>
                </c:pt>
                <c:pt idx="7">
                  <c:v>193</c:v>
                </c:pt>
              </c:numCache>
            </c:numRef>
          </c:yVal>
          <c:smooth val="0"/>
          <c:extLst>
            <c:ext xmlns:c15="http://schemas.microsoft.com/office/drawing/2012/chart" uri="{02D57815-91ED-43cb-92C2-25804820EDAC}">
              <c15:datalabelsRange>
                <c15:f>'January 2023 Data'!$A$30:$A$37</c15:f>
                <c15:dlblRangeCache>
                  <c:ptCount val="8"/>
                  <c:pt idx="0">
                    <c:v>Endo</c:v>
                  </c:pt>
                  <c:pt idx="1">
                    <c:v>Takanosho</c:v>
                  </c:pt>
                  <c:pt idx="2">
                    <c:v>Aoiyama</c:v>
                  </c:pt>
                  <c:pt idx="3">
                    <c:v>Hiradoumi</c:v>
                  </c:pt>
                  <c:pt idx="4">
                    <c:v>Tochinoshin</c:v>
                  </c:pt>
                  <c:pt idx="5">
                    <c:v>Chiyoshoma</c:v>
                  </c:pt>
                  <c:pt idx="6">
                    <c:v>Okinoumi</c:v>
                  </c:pt>
                  <c:pt idx="7">
                    <c:v>Kagayaki</c:v>
                  </c:pt>
                </c15:dlblRangeCache>
              </c15:datalabelsRange>
            </c:ext>
            <c:ext xmlns:c16="http://schemas.microsoft.com/office/drawing/2014/chart" uri="{C3380CC4-5D6E-409C-BE32-E72D297353CC}">
              <c16:uniqueId val="{00000028-4ACB-455E-9A96-A98653FFCF61}"/>
            </c:ext>
          </c:extLst>
        </c:ser>
        <c:ser>
          <c:idx val="7"/>
          <c:order val="7"/>
          <c:tx>
            <c:v>M13-16</c:v>
          </c:tx>
          <c:spPr>
            <a:ln w="25400" cap="rnd">
              <a:noFill/>
              <a:round/>
            </a:ln>
            <a:effectLst/>
          </c:spPr>
          <c:marker>
            <c:symbol val="circle"/>
            <c:size val="6"/>
            <c:spPr>
              <a:solidFill>
                <a:schemeClr val="accent4">
                  <a:alpha val="48000"/>
                </a:schemeClr>
              </a:solidFill>
              <a:ln w="9525">
                <a:solidFill>
                  <a:schemeClr val="bg2">
                    <a:lumMod val="75000"/>
                  </a:schemeClr>
                </a:solidFill>
              </a:ln>
              <a:effectLst/>
            </c:spPr>
          </c:marker>
          <c:dLbls>
            <c:dLbl>
              <c:idx val="0"/>
              <c:layout>
                <c:manualLayout>
                  <c:x val="0"/>
                  <c:y val="-2.0253164556962026E-2"/>
                </c:manualLayout>
              </c:layout>
              <c:tx>
                <c:rich>
                  <a:bodyPr/>
                  <a:lstStyle/>
                  <a:p>
                    <a:fld id="{A02E08CD-7149-437A-A9D6-B407F69E61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4ACB-455E-9A96-A98653FFCF61}"/>
                </c:ext>
              </c:extLst>
            </c:dLbl>
            <c:dLbl>
              <c:idx val="1"/>
              <c:tx>
                <c:rich>
                  <a:bodyPr/>
                  <a:lstStyle/>
                  <a:p>
                    <a:fld id="{ADC64178-A7FC-4CBF-91F8-74776B31F0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4ACB-455E-9A96-A98653FFCF61}"/>
                </c:ext>
              </c:extLst>
            </c:dLbl>
            <c:dLbl>
              <c:idx val="2"/>
              <c:layout>
                <c:manualLayout>
                  <c:x val="-9.6791928416930045E-2"/>
                  <c:y val="-2.8354430379746873E-2"/>
                </c:manualLayout>
              </c:layout>
              <c:tx>
                <c:rich>
                  <a:bodyPr/>
                  <a:lstStyle/>
                  <a:p>
                    <a:fld id="{496FAF3D-0217-4C82-BE7D-2E8C58D91F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4ACB-455E-9A96-A98653FFCF61}"/>
                </c:ext>
              </c:extLst>
            </c:dLbl>
            <c:dLbl>
              <c:idx val="3"/>
              <c:tx>
                <c:rich>
                  <a:bodyPr/>
                  <a:lstStyle/>
                  <a:p>
                    <a:fld id="{532CF711-18D7-4CA9-9EB7-5BDF95B658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4ACB-455E-9A96-A98653FFCF61}"/>
                </c:ext>
              </c:extLst>
            </c:dLbl>
            <c:dLbl>
              <c:idx val="4"/>
              <c:tx>
                <c:rich>
                  <a:bodyPr/>
                  <a:lstStyle/>
                  <a:p>
                    <a:fld id="{8C2FABAA-43D0-4421-BF4B-9F7506D2FE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4ACB-455E-9A96-A98653FFCF61}"/>
                </c:ext>
              </c:extLst>
            </c:dLbl>
            <c:dLbl>
              <c:idx val="5"/>
              <c:tx>
                <c:rich>
                  <a:bodyPr/>
                  <a:lstStyle/>
                  <a:p>
                    <a:fld id="{0BE2F1A0-838C-4D22-87E0-AC8628BF3C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4ACB-455E-9A96-A98653FFCF61}"/>
                </c:ext>
              </c:extLst>
            </c:dLbl>
            <c:dLbl>
              <c:idx val="6"/>
              <c:layout>
                <c:manualLayout>
                  <c:x val="-1.9065076809395308E-2"/>
                  <c:y val="-2.6329113924050632E-2"/>
                </c:manualLayout>
              </c:layout>
              <c:tx>
                <c:rich>
                  <a:bodyPr/>
                  <a:lstStyle/>
                  <a:p>
                    <a:fld id="{F3DB7719-63A4-447F-B1C0-9F29F869E3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4ACB-455E-9A96-A98653FFCF61}"/>
                </c:ext>
              </c:extLst>
            </c:dLbl>
            <c:dLbl>
              <c:idx val="7"/>
              <c:tx>
                <c:rich>
                  <a:bodyPr/>
                  <a:lstStyle/>
                  <a:p>
                    <a:fld id="{2ACA8038-EFFA-42BB-8D43-391D882377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Data'!$I$38:$I$45</c:f>
              <c:numCache>
                <c:formatCode>General</c:formatCode>
                <c:ptCount val="8"/>
                <c:pt idx="0">
                  <c:v>163</c:v>
                </c:pt>
                <c:pt idx="1">
                  <c:v>128</c:v>
                </c:pt>
                <c:pt idx="2">
                  <c:v>146</c:v>
                </c:pt>
                <c:pt idx="3">
                  <c:v>162</c:v>
                </c:pt>
                <c:pt idx="4">
                  <c:v>200</c:v>
                </c:pt>
                <c:pt idx="5">
                  <c:v>197</c:v>
                </c:pt>
                <c:pt idx="6">
                  <c:v>171</c:v>
                </c:pt>
                <c:pt idx="7">
                  <c:v>169</c:v>
                </c:pt>
              </c:numCache>
            </c:numRef>
          </c:xVal>
          <c:yVal>
            <c:numRef>
              <c:f>'January 2023 Data'!$H$38:$H$45</c:f>
              <c:numCache>
                <c:formatCode>General</c:formatCode>
                <c:ptCount val="8"/>
                <c:pt idx="0">
                  <c:v>189</c:v>
                </c:pt>
                <c:pt idx="1">
                  <c:v>176</c:v>
                </c:pt>
                <c:pt idx="2">
                  <c:v>187</c:v>
                </c:pt>
                <c:pt idx="3">
                  <c:v>191</c:v>
                </c:pt>
                <c:pt idx="4">
                  <c:v>184</c:v>
                </c:pt>
                <c:pt idx="5">
                  <c:v>190</c:v>
                </c:pt>
                <c:pt idx="6">
                  <c:v>186</c:v>
                </c:pt>
                <c:pt idx="7">
                  <c:v>177</c:v>
                </c:pt>
              </c:numCache>
            </c:numRef>
          </c:yVal>
          <c:smooth val="0"/>
          <c:extLst>
            <c:ext xmlns:c15="http://schemas.microsoft.com/office/drawing/2012/chart" uri="{02D57815-91ED-43cb-92C2-25804820EDAC}">
              <c15:datalabelsRange>
                <c15:f>'January 2023 Data'!$A$38:$A$45</c15:f>
                <c15:dlblRangeCache>
                  <c:ptCount val="8"/>
                  <c:pt idx="0">
                    <c:v>Kotoshoho</c:v>
                  </c:pt>
                  <c:pt idx="1">
                    <c:v>Kotoeko</c:v>
                  </c:pt>
                  <c:pt idx="2">
                    <c:v>Ichiyamamoto</c:v>
                  </c:pt>
                  <c:pt idx="3">
                    <c:v>Azumaryu</c:v>
                  </c:pt>
                  <c:pt idx="4">
                    <c:v>Tsurugisho</c:v>
                  </c:pt>
                  <c:pt idx="5">
                    <c:v>Mitoryu</c:v>
                  </c:pt>
                  <c:pt idx="6">
                    <c:v>Takarafuji</c:v>
                  </c:pt>
                  <c:pt idx="7">
                    <c:v>Chiyomaru</c:v>
                  </c:pt>
                </c15:dlblRangeCache>
              </c15:datalabelsRange>
            </c:ext>
            <c:ext xmlns:c16="http://schemas.microsoft.com/office/drawing/2014/chart" uri="{C3380CC4-5D6E-409C-BE32-E72D297353CC}">
              <c16:uniqueId val="{00000031-4ACB-455E-9A96-A98653FFCF61}"/>
            </c:ext>
          </c:extLst>
        </c:ser>
        <c:dLbls>
          <c:showLegendKey val="0"/>
          <c:showVal val="0"/>
          <c:showCatName val="0"/>
          <c:showSerName val="0"/>
          <c:showPercent val="0"/>
          <c:showBubbleSize val="0"/>
        </c:dLbls>
        <c:axId val="745971600"/>
        <c:axId val="745971928"/>
      </c:scatterChart>
      <c:valAx>
        <c:axId val="745971600"/>
        <c:scaling>
          <c:orientation val="minMax"/>
          <c:max val="22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min val="16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Change in weight </a:t>
            </a:r>
          </a:p>
          <a:p>
            <a:pPr>
              <a:defRPr/>
            </a:pPr>
            <a:r>
              <a:rPr lang="en-US" sz="2000"/>
              <a:t>Nov 2022 - Jan 2023</a:t>
            </a:r>
          </a:p>
        </c:rich>
      </c:tx>
      <c:layout>
        <c:manualLayout>
          <c:xMode val="edge"/>
          <c:yMode val="edge"/>
          <c:x val="8.4981684981684985E-2"/>
          <c:y val="2.429149797570850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189264803438036E-2"/>
          <c:y val="1.1118460900889414E-2"/>
          <c:w val="0.91769351907934582"/>
          <c:h val="0.90385970225381751"/>
        </c:manualLayout>
      </c:layout>
      <c:barChart>
        <c:barDir val="col"/>
        <c:grouping val="clustered"/>
        <c:varyColors val="0"/>
        <c:ser>
          <c:idx val="0"/>
          <c:order val="0"/>
          <c:tx>
            <c:v>Change in weight Nov 2022 - Jan 2023</c:v>
          </c:tx>
          <c:spPr>
            <a:solidFill>
              <a:schemeClr val="accent4"/>
            </a:solidFill>
            <a:ln>
              <a:noFill/>
            </a:ln>
            <a:effectLst/>
          </c:spPr>
          <c:invertIfNegative val="0"/>
          <c:cat>
            <c:numRef>
              <c:f>'January 2023 Data'!$V$4:$V$18</c:f>
              <c:numCache>
                <c:formatCode>General</c:formatCode>
                <c:ptCount val="15"/>
                <c:pt idx="0">
                  <c:v>-3</c:v>
                </c:pt>
                <c:pt idx="1">
                  <c:v>-2</c:v>
                </c:pt>
                <c:pt idx="2">
                  <c:v>-1</c:v>
                </c:pt>
                <c:pt idx="3">
                  <c:v>0</c:v>
                </c:pt>
                <c:pt idx="4">
                  <c:v>1</c:v>
                </c:pt>
                <c:pt idx="5">
                  <c:v>2</c:v>
                </c:pt>
                <c:pt idx="6">
                  <c:v>3</c:v>
                </c:pt>
                <c:pt idx="7">
                  <c:v>4</c:v>
                </c:pt>
                <c:pt idx="8">
                  <c:v>5</c:v>
                </c:pt>
                <c:pt idx="9">
                  <c:v>6</c:v>
                </c:pt>
                <c:pt idx="10">
                  <c:v>7</c:v>
                </c:pt>
                <c:pt idx="11">
                  <c:v>8</c:v>
                </c:pt>
                <c:pt idx="12">
                  <c:v>9</c:v>
                </c:pt>
                <c:pt idx="13">
                  <c:v>10</c:v>
                </c:pt>
                <c:pt idx="14">
                  <c:v>11</c:v>
                </c:pt>
              </c:numCache>
            </c:numRef>
          </c:cat>
          <c:val>
            <c:numRef>
              <c:f>'January 2023 Data'!$W$4:$W$18</c:f>
              <c:numCache>
                <c:formatCode>General</c:formatCode>
                <c:ptCount val="15"/>
                <c:pt idx="0">
                  <c:v>3</c:v>
                </c:pt>
                <c:pt idx="1">
                  <c:v>1</c:v>
                </c:pt>
                <c:pt idx="2">
                  <c:v>1</c:v>
                </c:pt>
                <c:pt idx="3">
                  <c:v>6</c:v>
                </c:pt>
                <c:pt idx="4">
                  <c:v>4</c:v>
                </c:pt>
                <c:pt idx="5">
                  <c:v>3</c:v>
                </c:pt>
                <c:pt idx="6">
                  <c:v>10</c:v>
                </c:pt>
                <c:pt idx="7">
                  <c:v>2</c:v>
                </c:pt>
                <c:pt idx="8">
                  <c:v>6</c:v>
                </c:pt>
                <c:pt idx="9">
                  <c:v>1</c:v>
                </c:pt>
                <c:pt idx="10">
                  <c:v>1</c:v>
                </c:pt>
                <c:pt idx="11">
                  <c:v>1</c:v>
                </c:pt>
                <c:pt idx="12">
                  <c:v>1</c:v>
                </c:pt>
                <c:pt idx="13">
                  <c:v>0</c:v>
                </c:pt>
                <c:pt idx="14">
                  <c:v>1</c:v>
                </c:pt>
              </c:numCache>
            </c:numRef>
          </c:val>
          <c:extLst>
            <c:ext xmlns:c16="http://schemas.microsoft.com/office/drawing/2014/chart" uri="{C3380CC4-5D6E-409C-BE32-E72D297353CC}">
              <c16:uniqueId val="{00000000-58D7-4245-8833-D44E43232CBE}"/>
            </c:ext>
          </c:extLst>
        </c:ser>
        <c:dLbls>
          <c:showLegendKey val="0"/>
          <c:showVal val="0"/>
          <c:showCatName val="0"/>
          <c:showSerName val="0"/>
          <c:showPercent val="0"/>
          <c:showBubbleSize val="0"/>
        </c:dLbls>
        <c:gapWidth val="38"/>
        <c:overlap val="-27"/>
        <c:axId val="378171888"/>
        <c:axId val="378172304"/>
      </c:barChart>
      <c:catAx>
        <c:axId val="3781718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a:t>Change in Kilograms</a:t>
                </a:r>
              </a:p>
            </c:rich>
          </c:tx>
          <c:layout>
            <c:manualLayout>
              <c:xMode val="edge"/>
              <c:yMode val="edge"/>
              <c:x val="7.4307057771624718E-2"/>
              <c:y val="0.9543927125506073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172304"/>
        <c:crosses val="autoZero"/>
        <c:auto val="1"/>
        <c:lblAlgn val="ctr"/>
        <c:lblOffset val="100"/>
        <c:noMultiLvlLbl val="0"/>
      </c:catAx>
      <c:valAx>
        <c:axId val="378172304"/>
        <c:scaling>
          <c:orientation val="minMax"/>
          <c:max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a:t>Number of Makuuchi wrestlers</a:t>
                </a:r>
              </a:p>
            </c:rich>
          </c:tx>
          <c:layout>
            <c:manualLayout>
              <c:xMode val="edge"/>
              <c:yMode val="edge"/>
              <c:x val="0"/>
              <c:y val="1.05178679588128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171888"/>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March 2023 Makuuchi Wrestlers</a:t>
            </a:r>
          </a:p>
        </c:rich>
      </c:tx>
      <c:layout>
        <c:manualLayout>
          <c:xMode val="edge"/>
          <c:yMode val="edge"/>
          <c:x val="0.29465809481105421"/>
          <c:y val="1.212121212121212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2322130974421734E-2"/>
          <c:y val="7.4949017736419307E-2"/>
          <c:w val="0.81188907136193378"/>
          <c:h val="0.85594431898299383"/>
        </c:manualLayout>
      </c:layout>
      <c:scatterChart>
        <c:scatterStyle val="lineMarker"/>
        <c:varyColors val="0"/>
        <c:ser>
          <c:idx val="0"/>
          <c:order val="0"/>
          <c:tx>
            <c:strRef>
              <c:f>'September 2022 Data'!$C$4</c:f>
              <c:strCache>
                <c:ptCount val="1"/>
                <c:pt idx="0">
                  <c:v>Yokozuna</c:v>
                </c:pt>
              </c:strCache>
            </c:strRef>
          </c:tx>
          <c:spPr>
            <a:ln w="25400" cap="rnd">
              <a:noFill/>
              <a:round/>
            </a:ln>
            <a:effectLst/>
          </c:spPr>
          <c:marker>
            <c:symbol val="circle"/>
            <c:size val="20"/>
            <c:spPr>
              <a:solidFill>
                <a:schemeClr val="accent1"/>
              </a:solidFill>
              <a:ln w="9525">
                <a:solidFill>
                  <a:schemeClr val="accent6">
                    <a:lumMod val="60000"/>
                    <a:alpha val="85000"/>
                  </a:schemeClr>
                </a:solidFill>
              </a:ln>
              <a:effectLst/>
            </c:spPr>
          </c:marker>
          <c:dLbls>
            <c:dLbl>
              <c:idx val="0"/>
              <c:layout>
                <c:manualLayout>
                  <c:x val="-2.7864343029116324E-2"/>
                  <c:y val="-3.0303030303030304E-2"/>
                </c:manualLayout>
              </c:layout>
              <c:tx>
                <c:rich>
                  <a:bodyPr/>
                  <a:lstStyle/>
                  <a:p>
                    <a:fld id="{4FAC22B6-E997-4746-B6AC-EC30924D8B24}" type="CELLREF">
                      <a:rPr lang="en-US"/>
                      <a:pPr/>
                      <a:t>[CELLREF]</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{4FAC22B6-E997-4746-B6AC-EC30924D8B24}</c15:txfldGUID>
                      <c15:f>'March 2023 Data'!$A$4</c15:f>
                      <c15:dlblFieldTableCache>
                        <c:ptCount val="1"/>
                        <c:pt idx="0">
                          <c:v>Terunofuji</c:v>
                        </c:pt>
                      </c15:dlblFieldTableCache>
                    </c15:dlblFTEntry>
                  </c15:dlblFieldTable>
                  <c15:showDataLabelsRange val="0"/>
                </c:ext>
                <c:ext xmlns:c16="http://schemas.microsoft.com/office/drawing/2014/chart" uri="{C3380CC4-5D6E-409C-BE32-E72D297353CC}">
                  <c16:uniqueId val="{00000000-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'March 2023 Data'!$J$4</c:f>
              <c:numCache>
                <c:formatCode>General</c:formatCode>
                <c:ptCount val="1"/>
                <c:pt idx="0">
                  <c:v>180</c:v>
                </c:pt>
              </c:numCache>
            </c:numRef>
          </c:xVal>
          <c:yVal>
            <c:numRef>
              <c:f>'March 2023 Data'!$I$4</c:f>
              <c:numCache>
                <c:formatCode>General</c:formatCode>
                <c:ptCount val="1"/>
                <c:pt idx="0">
                  <c:v>192</c:v>
                </c:pt>
              </c:numCache>
            </c:numRef>
          </c:yVal>
          <c:smooth val="0"/>
          <c:extLst>
            <c:ext xmlns:c16="http://schemas.microsoft.com/office/drawing/2014/chart" uri="{C3380CC4-5D6E-409C-BE32-E72D297353CC}">
              <c16:uniqueId val="{00000001-5B85-4AE0-8D30-117960B5E123}"/>
            </c:ext>
          </c:extLst>
        </c:ser>
        <c:ser>
          <c:idx val="1"/>
          <c:order val="1"/>
          <c:tx>
            <c:strRef>
              <c:f>'September 2022 Data'!$C$5</c:f>
              <c:strCache>
                <c:ptCount val="1"/>
                <c:pt idx="0">
                  <c:v>Ozeki</c:v>
                </c:pt>
              </c:strCache>
            </c:strRef>
          </c:tx>
          <c:spPr>
            <a:ln w="25400" cap="rnd">
              <a:noFill/>
              <a:round/>
            </a:ln>
            <a:effectLst/>
          </c:spPr>
          <c:marker>
            <c:symbol val="circle"/>
            <c:size val="11"/>
            <c:spPr>
              <a:solidFill>
                <a:schemeClr val="accent2"/>
              </a:solidFill>
              <a:ln w="9525">
                <a:solidFill>
                  <a:schemeClr val="accent6">
                    <a:lumMod val="60000"/>
                  </a:schemeClr>
                </a:solidFill>
              </a:ln>
              <a:effectLst/>
            </c:spPr>
          </c:marker>
          <c:dLbls>
            <c:dLbl>
              <c:idx val="0"/>
              <c:tx>
                <c:rich>
                  <a:bodyPr/>
                  <a:lstStyle/>
                  <a:p>
                    <a:fld id="{FDA69302-DD21-4120-AA36-1A51E0FF5A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Data'!$J$5</c:f>
              <c:numCache>
                <c:formatCode>General</c:formatCode>
                <c:ptCount val="1"/>
                <c:pt idx="0">
                  <c:v>165</c:v>
                </c:pt>
              </c:numCache>
            </c:numRef>
          </c:xVal>
          <c:yVal>
            <c:numRef>
              <c:f>'March 2023 Data'!$I$5</c:f>
              <c:numCache>
                <c:formatCode>General</c:formatCode>
                <c:ptCount val="1"/>
                <c:pt idx="0">
                  <c:v>175</c:v>
                </c:pt>
              </c:numCache>
            </c:numRef>
          </c:yVal>
          <c:smooth val="0"/>
          <c:extLst>
            <c:ext xmlns:c15="http://schemas.microsoft.com/office/drawing/2012/chart" uri="{02D57815-91ED-43cb-92C2-25804820EDAC}">
              <c15:datalabelsRange>
                <c15:f>'March 2023 Data'!$A$5</c15:f>
                <c15:dlblRangeCache>
                  <c:ptCount val="1"/>
                  <c:pt idx="0">
                    <c:v>Takakeisho</c:v>
                  </c:pt>
                </c15:dlblRangeCache>
              </c15:datalabelsRange>
            </c:ext>
            <c:ext xmlns:c16="http://schemas.microsoft.com/office/drawing/2014/chart" uri="{C3380CC4-5D6E-409C-BE32-E72D297353CC}">
              <c16:uniqueId val="{00000003-5B85-4AE0-8D30-117960B5E123}"/>
            </c:ext>
          </c:extLst>
        </c:ser>
        <c:ser>
          <c:idx val="2"/>
          <c:order val="2"/>
          <c:tx>
            <c:strRef>
              <c:f>'March 2023 Data'!$F$6</c:f>
              <c:strCache>
                <c:ptCount val="1"/>
                <c:pt idx="0">
                  <c:v>Sekiwake</c:v>
                </c:pt>
              </c:strCache>
            </c:strRef>
          </c:tx>
          <c:spPr>
            <a:ln w="25400" cap="rnd">
              <a:noFill/>
              <a:round/>
            </a:ln>
            <a:effectLst/>
          </c:spPr>
          <c:marker>
            <c:symbol val="circle"/>
            <c:size val="15"/>
            <c:spPr>
              <a:solidFill>
                <a:schemeClr val="accent3"/>
              </a:solidFill>
              <a:ln w="9525">
                <a:solidFill>
                  <a:schemeClr val="accent6">
                    <a:lumMod val="60000"/>
                  </a:schemeClr>
                </a:solidFill>
              </a:ln>
              <a:effectLst/>
            </c:spPr>
          </c:marker>
          <c:dLbls>
            <c:dLbl>
              <c:idx val="0"/>
              <c:layout>
                <c:manualLayout>
                  <c:x val="-5.572868605823246E-2"/>
                  <c:y val="3.0303030303030228E-2"/>
                </c:manualLayout>
              </c:layout>
              <c:tx>
                <c:rich>
                  <a:bodyPr/>
                  <a:lstStyle/>
                  <a:p>
                    <a:fld id="{D603ED05-28ED-418C-B956-090ABF0E95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B85-4AE0-8D30-117960B5E123}"/>
                </c:ext>
              </c:extLst>
            </c:dLbl>
            <c:dLbl>
              <c:idx val="1"/>
              <c:layout>
                <c:manualLayout>
                  <c:x val="-5.1329052948371978E-2"/>
                  <c:y val="-3.8383838383838381E-2"/>
                </c:manualLayout>
              </c:layout>
              <c:tx>
                <c:rich>
                  <a:bodyPr/>
                  <a:lstStyle/>
                  <a:p>
                    <a:fld id="{F54F74C5-893C-4E7F-A4E5-0851C81E93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B85-4AE0-8D30-117960B5E123}"/>
                </c:ext>
              </c:extLst>
            </c:dLbl>
            <c:dLbl>
              <c:idx val="2"/>
              <c:layout>
                <c:manualLayout>
                  <c:x val="-9.6791928416930045E-2"/>
                  <c:y val="-4.0404040404041141E-3"/>
                </c:manualLayout>
              </c:layout>
              <c:tx>
                <c:rich>
                  <a:bodyPr/>
                  <a:lstStyle/>
                  <a:p>
                    <a:fld id="{14167468-D48F-49D5-9CAB-97882EB494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Data'!$J$6:$J$8</c:f>
              <c:numCache>
                <c:formatCode>General</c:formatCode>
                <c:ptCount val="3"/>
                <c:pt idx="0">
                  <c:v>132</c:v>
                </c:pt>
                <c:pt idx="1">
                  <c:v>141</c:v>
                </c:pt>
                <c:pt idx="2">
                  <c:v>140</c:v>
                </c:pt>
              </c:numCache>
            </c:numRef>
          </c:xVal>
          <c:yVal>
            <c:numRef>
              <c:f>'March 2023 Data'!$I$6:$I$8</c:f>
              <c:numCache>
                <c:formatCode>General</c:formatCode>
                <c:ptCount val="3"/>
                <c:pt idx="0">
                  <c:v>182</c:v>
                </c:pt>
                <c:pt idx="1">
                  <c:v>188</c:v>
                </c:pt>
                <c:pt idx="2">
                  <c:v>186</c:v>
                </c:pt>
              </c:numCache>
            </c:numRef>
          </c:yVal>
          <c:smooth val="0"/>
          <c:extLst>
            <c:ext xmlns:c15="http://schemas.microsoft.com/office/drawing/2012/chart" uri="{02D57815-91ED-43cb-92C2-25804820EDAC}">
              <c15:datalabelsRange>
                <c15:f>'March 2023 Data'!$A$6:$A$8</c15:f>
                <c15:dlblRangeCache>
                  <c:ptCount val="3"/>
                  <c:pt idx="0">
                    <c:v>Wakatakakage</c:v>
                  </c:pt>
                  <c:pt idx="1">
                    <c:v>Hoshoryu</c:v>
                  </c:pt>
                  <c:pt idx="2">
                    <c:v>Kiribayama</c:v>
                  </c:pt>
                </c15:dlblRangeCache>
              </c15:datalabelsRange>
            </c:ext>
            <c:ext xmlns:c16="http://schemas.microsoft.com/office/drawing/2014/chart" uri="{C3380CC4-5D6E-409C-BE32-E72D297353CC}">
              <c16:uniqueId val="{00000008-5B85-4AE0-8D30-117960B5E123}"/>
            </c:ext>
          </c:extLst>
        </c:ser>
        <c:ser>
          <c:idx val="3"/>
          <c:order val="3"/>
          <c:tx>
            <c:strRef>
              <c:f>'September 2022 Data'!$C$11</c:f>
              <c:strCache>
                <c:ptCount val="1"/>
                <c:pt idx="0">
                  <c:v>Komusubi</c:v>
                </c:pt>
              </c:strCache>
            </c:strRef>
          </c:tx>
          <c:spPr>
            <a:ln w="25400" cap="rnd">
              <a:noFill/>
              <a:round/>
            </a:ln>
            <a:effectLst/>
          </c:spPr>
          <c:marker>
            <c:symbol val="circle"/>
            <c:size val="12"/>
            <c:spPr>
              <a:solidFill>
                <a:schemeClr val="accent4"/>
              </a:solidFill>
              <a:ln w="9525">
                <a:solidFill>
                  <a:schemeClr val="accent6">
                    <a:lumMod val="60000"/>
                  </a:schemeClr>
                </a:solidFill>
              </a:ln>
              <a:effectLst/>
            </c:spPr>
          </c:marker>
          <c:dLbls>
            <c:dLbl>
              <c:idx val="0"/>
              <c:layout>
                <c:manualLayout>
                  <c:x val="-7.9193395977488201E-2"/>
                  <c:y val="2.6262626262626262E-2"/>
                </c:manualLayout>
              </c:layout>
              <c:tx>
                <c:rich>
                  <a:bodyPr/>
                  <a:lstStyle/>
                  <a:p>
                    <a:fld id="{8CD25D9F-DB83-4B86-BE80-E23C15622B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B85-4AE0-8D30-117960B5E123}"/>
                </c:ext>
              </c:extLst>
            </c:dLbl>
            <c:dLbl>
              <c:idx val="1"/>
              <c:layout>
                <c:manualLayout>
                  <c:x val="-1.4665443699534852E-2"/>
                  <c:y val="2.8282828282828285E-2"/>
                </c:manualLayout>
              </c:layout>
              <c:tx>
                <c:rich>
                  <a:bodyPr/>
                  <a:lstStyle/>
                  <a:p>
                    <a:fld id="{308B63B4-9F97-4756-B8EE-DA69685238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B85-4AE0-8D30-117960B5E123}"/>
                </c:ext>
              </c:extLst>
            </c:dLbl>
            <c:dLbl>
              <c:idx val="2"/>
              <c:tx>
                <c:rich>
                  <a:bodyPr/>
                  <a:lstStyle/>
                  <a:p>
                    <a:fld id="{E418D1F5-4050-4086-ACD2-BE36D6ADF7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B85-4AE0-8D30-117960B5E123}"/>
                </c:ext>
              </c:extLst>
            </c:dLbl>
            <c:dLbl>
              <c:idx val="3"/>
              <c:tx>
                <c:rich>
                  <a:bodyPr/>
                  <a:lstStyle/>
                  <a:p>
                    <a:fld id="{B01AA08F-A2B8-4639-B689-741BFBEA9E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Data'!$J$9:$J$12</c:f>
              <c:numCache>
                <c:formatCode>General</c:formatCode>
                <c:ptCount val="4"/>
                <c:pt idx="0">
                  <c:v>172</c:v>
                </c:pt>
                <c:pt idx="1">
                  <c:v>143</c:v>
                </c:pt>
                <c:pt idx="2">
                  <c:v>165</c:v>
                </c:pt>
                <c:pt idx="3">
                  <c:v>133</c:v>
                </c:pt>
              </c:numCache>
            </c:numRef>
          </c:xVal>
          <c:yVal>
            <c:numRef>
              <c:f>'March 2023 Data'!$I$9:$I$12</c:f>
              <c:numCache>
                <c:formatCode>General</c:formatCode>
                <c:ptCount val="4"/>
                <c:pt idx="0">
                  <c:v>189</c:v>
                </c:pt>
                <c:pt idx="1">
                  <c:v>187</c:v>
                </c:pt>
                <c:pt idx="2">
                  <c:v>182</c:v>
                </c:pt>
                <c:pt idx="3">
                  <c:v>174</c:v>
                </c:pt>
              </c:numCache>
            </c:numRef>
          </c:yVal>
          <c:smooth val="0"/>
          <c:extLst>
            <c:ext xmlns:c15="http://schemas.microsoft.com/office/drawing/2012/chart" uri="{02D57815-91ED-43cb-92C2-25804820EDAC}">
              <c15:datalabelsRange>
                <c15:f>'March 2023 Data'!$A$9:$A$12</c15:f>
                <c15:dlblRangeCache>
                  <c:ptCount val="4"/>
                  <c:pt idx="0">
                    <c:v>Kotonowaka</c:v>
                  </c:pt>
                  <c:pt idx="1">
                    <c:v>Wakamotoharu</c:v>
                  </c:pt>
                  <c:pt idx="2">
                    <c:v>Daieisho</c:v>
                  </c:pt>
                  <c:pt idx="3">
                    <c:v>Tobizaru</c:v>
                  </c:pt>
                </c15:dlblRangeCache>
              </c15:datalabelsRange>
            </c:ext>
            <c:ext xmlns:c16="http://schemas.microsoft.com/office/drawing/2014/chart" uri="{C3380CC4-5D6E-409C-BE32-E72D297353CC}">
              <c16:uniqueId val="{0000000D-5B85-4AE0-8D30-117960B5E123}"/>
            </c:ext>
          </c:extLst>
        </c:ser>
        <c:ser>
          <c:idx val="4"/>
          <c:order val="4"/>
          <c:tx>
            <c:v>M01-04</c:v>
          </c:tx>
          <c:spPr>
            <a:ln w="25400" cap="rnd">
              <a:noFill/>
              <a:round/>
            </a:ln>
            <a:effectLst/>
          </c:spPr>
          <c:marker>
            <c:symbol val="circle"/>
            <c:size val="10"/>
            <c:spPr>
              <a:solidFill>
                <a:schemeClr val="accent1">
                  <a:alpha val="73000"/>
                </a:schemeClr>
              </a:solidFill>
              <a:ln w="9525">
                <a:solidFill>
                  <a:schemeClr val="tx1">
                    <a:lumMod val="50000"/>
                    <a:lumOff val="50000"/>
                  </a:schemeClr>
                </a:solidFill>
              </a:ln>
              <a:effectLst/>
            </c:spPr>
          </c:marker>
          <c:dLbls>
            <c:dLbl>
              <c:idx val="0"/>
              <c:layout>
                <c:manualLayout>
                  <c:x val="4.3996331098604558E-3"/>
                  <c:y val="-1.0101010101010102E-2"/>
                </c:manualLayout>
              </c:layout>
              <c:tx>
                <c:rich>
                  <a:bodyPr/>
                  <a:lstStyle/>
                  <a:p>
                    <a:fld id="{3CC86017-85C3-4FBC-96D0-E1D9A39B96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B85-4AE0-8D30-117960B5E123}"/>
                </c:ext>
              </c:extLst>
            </c:dLbl>
            <c:dLbl>
              <c:idx val="1"/>
              <c:tx>
                <c:rich>
                  <a:bodyPr/>
                  <a:lstStyle/>
                  <a:p>
                    <a:fld id="{6F871D4C-6CA6-46D4-9990-37E2DD95FF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B85-4AE0-8D30-117960B5E123}"/>
                </c:ext>
              </c:extLst>
            </c:dLbl>
            <c:dLbl>
              <c:idx val="2"/>
              <c:tx>
                <c:rich>
                  <a:bodyPr/>
                  <a:lstStyle/>
                  <a:p>
                    <a:fld id="{B7C1F07F-CEC1-4610-BAAA-A80AAF40D2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B85-4AE0-8D30-117960B5E123}"/>
                </c:ext>
              </c:extLst>
            </c:dLbl>
            <c:dLbl>
              <c:idx val="3"/>
              <c:layout>
                <c:manualLayout>
                  <c:x val="-5.4262141688278948E-2"/>
                  <c:y val="2.0202020202020204E-2"/>
                </c:manualLayout>
              </c:layout>
              <c:tx>
                <c:rich>
                  <a:bodyPr/>
                  <a:lstStyle/>
                  <a:p>
                    <a:fld id="{04E6D4B9-70DF-4DCF-B915-3F2A07398A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5B85-4AE0-8D30-117960B5E123}"/>
                </c:ext>
              </c:extLst>
            </c:dLbl>
            <c:dLbl>
              <c:idx val="4"/>
              <c:tx>
                <c:rich>
                  <a:bodyPr/>
                  <a:lstStyle/>
                  <a:p>
                    <a:fld id="{3405E6D1-9A95-4E61-9541-AD4A855981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B85-4AE0-8D30-117960B5E123}"/>
                </c:ext>
              </c:extLst>
            </c:dLbl>
            <c:dLbl>
              <c:idx val="5"/>
              <c:tx>
                <c:rich>
                  <a:bodyPr/>
                  <a:lstStyle/>
                  <a:p>
                    <a:fld id="{597291E7-587B-4D56-B9C7-17068FE1D2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B85-4AE0-8D30-117960B5E123}"/>
                </c:ext>
              </c:extLst>
            </c:dLbl>
            <c:dLbl>
              <c:idx val="6"/>
              <c:tx>
                <c:rich>
                  <a:bodyPr/>
                  <a:lstStyle/>
                  <a:p>
                    <a:fld id="{4358586F-F30B-4FDE-9303-7447B8EB37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B85-4AE0-8D30-117960B5E123}"/>
                </c:ext>
              </c:extLst>
            </c:dLbl>
            <c:dLbl>
              <c:idx val="7"/>
              <c:tx>
                <c:rich>
                  <a:bodyPr/>
                  <a:lstStyle/>
                  <a:p>
                    <a:fld id="{1B94C39C-CBCE-4C2F-AE35-A4E38B7739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Data'!$J$13:$J$20</c:f>
              <c:numCache>
                <c:formatCode>General</c:formatCode>
                <c:ptCount val="8"/>
                <c:pt idx="0">
                  <c:v>160</c:v>
                </c:pt>
                <c:pt idx="1">
                  <c:v>174</c:v>
                </c:pt>
                <c:pt idx="2">
                  <c:v>156</c:v>
                </c:pt>
                <c:pt idx="3">
                  <c:v>154</c:v>
                </c:pt>
                <c:pt idx="4">
                  <c:v>170</c:v>
                </c:pt>
                <c:pt idx="5">
                  <c:v>176</c:v>
                </c:pt>
                <c:pt idx="6">
                  <c:v>154</c:v>
                </c:pt>
                <c:pt idx="7">
                  <c:v>164</c:v>
                </c:pt>
              </c:numCache>
            </c:numRef>
          </c:xVal>
          <c:yVal>
            <c:numRef>
              <c:f>'March 2023 Data'!$I$13:$I$20</c:f>
              <c:numCache>
                <c:formatCode>General</c:formatCode>
                <c:ptCount val="8"/>
                <c:pt idx="0">
                  <c:v>184</c:v>
                </c:pt>
                <c:pt idx="1">
                  <c:v>189</c:v>
                </c:pt>
                <c:pt idx="2">
                  <c:v>186</c:v>
                </c:pt>
                <c:pt idx="3">
                  <c:v>188</c:v>
                </c:pt>
                <c:pt idx="4">
                  <c:v>179</c:v>
                </c:pt>
                <c:pt idx="5">
                  <c:v>185</c:v>
                </c:pt>
                <c:pt idx="6">
                  <c:v>180</c:v>
                </c:pt>
                <c:pt idx="7">
                  <c:v>177</c:v>
                </c:pt>
              </c:numCache>
            </c:numRef>
          </c:yVal>
          <c:smooth val="0"/>
          <c:extLst>
            <c:ext xmlns:c15="http://schemas.microsoft.com/office/drawing/2012/chart" uri="{02D57815-91ED-43cb-92C2-25804820EDAC}">
              <c15:datalabelsRange>
                <c15:f>'March 2023 Data'!$A$13:$A$20</c15:f>
                <c15:dlblRangeCache>
                  <c:ptCount val="8"/>
                  <c:pt idx="0">
                    <c:v>Shodai</c:v>
                  </c:pt>
                  <c:pt idx="1">
                    <c:v>Tamawashi</c:v>
                  </c:pt>
                  <c:pt idx="2">
                    <c:v>Abi</c:v>
                  </c:pt>
                  <c:pt idx="3">
                    <c:v>Ryuden</c:v>
                  </c:pt>
                  <c:pt idx="4">
                    <c:v>Mitakeumi</c:v>
                  </c:pt>
                  <c:pt idx="5">
                    <c:v>Nishikigi</c:v>
                  </c:pt>
                  <c:pt idx="6">
                    <c:v>Meisei</c:v>
                  </c:pt>
                  <c:pt idx="7">
                    <c:v>Onosho</c:v>
                  </c:pt>
                </c15:dlblRangeCache>
              </c15:datalabelsRange>
            </c:ext>
            <c:ext xmlns:c16="http://schemas.microsoft.com/office/drawing/2014/chart" uri="{C3380CC4-5D6E-409C-BE32-E72D297353CC}">
              <c16:uniqueId val="{00000016-5B85-4AE0-8D30-117960B5E123}"/>
            </c:ext>
          </c:extLst>
        </c:ser>
        <c:ser>
          <c:idx val="5"/>
          <c:order val="5"/>
          <c:tx>
            <c:v>M05-08</c:v>
          </c:tx>
          <c:spPr>
            <a:ln w="25400" cap="rnd">
              <a:noFill/>
              <a:round/>
            </a:ln>
            <a:effectLst/>
          </c:spPr>
          <c:marker>
            <c:symbol val="circle"/>
            <c:size val="8"/>
            <c:spPr>
              <a:solidFill>
                <a:schemeClr val="accent2">
                  <a:alpha val="76000"/>
                </a:schemeClr>
              </a:solidFill>
              <a:ln w="9525">
                <a:solidFill>
                  <a:schemeClr val="tx1">
                    <a:lumMod val="50000"/>
                    <a:lumOff val="50000"/>
                  </a:schemeClr>
                </a:solidFill>
              </a:ln>
              <a:effectLst/>
            </c:spPr>
          </c:marker>
          <c:dLbls>
            <c:dLbl>
              <c:idx val="0"/>
              <c:tx>
                <c:rich>
                  <a:bodyPr/>
                  <a:lstStyle/>
                  <a:p>
                    <a:fld id="{42C62307-107A-4F26-8FEC-914039C229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B85-4AE0-8D30-117960B5E123}"/>
                </c:ext>
              </c:extLst>
            </c:dLbl>
            <c:dLbl>
              <c:idx val="1"/>
              <c:tx>
                <c:rich>
                  <a:bodyPr/>
                  <a:lstStyle/>
                  <a:p>
                    <a:fld id="{F1B2E5F9-9E5F-46ED-85FC-0AD2F84CA3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B85-4AE0-8D30-117960B5E123}"/>
                </c:ext>
              </c:extLst>
            </c:dLbl>
            <c:dLbl>
              <c:idx val="2"/>
              <c:tx>
                <c:rich>
                  <a:bodyPr/>
                  <a:lstStyle/>
                  <a:p>
                    <a:fld id="{A4F00BE3-3222-45B6-8471-A330AC7E29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B85-4AE0-8D30-117960B5E123}"/>
                </c:ext>
              </c:extLst>
            </c:dLbl>
            <c:dLbl>
              <c:idx val="3"/>
              <c:layout>
                <c:manualLayout>
                  <c:x val="1.0265810589674396E-2"/>
                  <c:y val="-4.0404040404041141E-3"/>
                </c:manualLayout>
              </c:layout>
              <c:tx>
                <c:rich>
                  <a:bodyPr/>
                  <a:lstStyle/>
                  <a:p>
                    <a:fld id="{61EDB836-FAF8-4881-BE95-0FA0B9A645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5B85-4AE0-8D30-117960B5E123}"/>
                </c:ext>
              </c:extLst>
            </c:dLbl>
            <c:dLbl>
              <c:idx val="4"/>
              <c:tx>
                <c:rich>
                  <a:bodyPr/>
                  <a:lstStyle/>
                  <a:p>
                    <a:fld id="{FDECAAEF-C338-4977-8EBA-E557A5B6E6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B85-4AE0-8D30-117960B5E123}"/>
                </c:ext>
              </c:extLst>
            </c:dLbl>
            <c:dLbl>
              <c:idx val="5"/>
              <c:layout>
                <c:manualLayout>
                  <c:x val="-3.3730520508930155E-2"/>
                  <c:y val="3.0303030303030228E-2"/>
                </c:manualLayout>
              </c:layout>
              <c:tx>
                <c:rich>
                  <a:bodyPr/>
                  <a:lstStyle/>
                  <a:p>
                    <a:fld id="{FF62F4CF-9B06-4552-9199-F5D4A2E044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5B85-4AE0-8D30-117960B5E123}"/>
                </c:ext>
              </c:extLst>
            </c:dLbl>
            <c:dLbl>
              <c:idx val="6"/>
              <c:tx>
                <c:rich>
                  <a:bodyPr/>
                  <a:lstStyle/>
                  <a:p>
                    <a:fld id="{5E805323-2BC4-4971-9A65-E1C323FB6E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B85-4AE0-8D30-117960B5E123}"/>
                </c:ext>
              </c:extLst>
            </c:dLbl>
            <c:dLbl>
              <c:idx val="7"/>
              <c:layout>
                <c:manualLayout>
                  <c:x val="-2.0531621179348793E-2"/>
                  <c:y val="-4.0404040404040407E-2"/>
                </c:manualLayout>
              </c:layout>
              <c:tx>
                <c:rich>
                  <a:bodyPr/>
                  <a:lstStyle/>
                  <a:p>
                    <a:fld id="{7B74053C-50CB-4361-B7FE-5555267124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Data'!$J$21:$J$28</c:f>
              <c:numCache>
                <c:formatCode>General</c:formatCode>
                <c:ptCount val="8"/>
                <c:pt idx="0">
                  <c:v>117</c:v>
                </c:pt>
                <c:pt idx="1">
                  <c:v>163</c:v>
                </c:pt>
                <c:pt idx="2">
                  <c:v>142</c:v>
                </c:pt>
                <c:pt idx="3">
                  <c:v>150</c:v>
                </c:pt>
                <c:pt idx="4">
                  <c:v>177</c:v>
                </c:pt>
                <c:pt idx="5">
                  <c:v>159</c:v>
                </c:pt>
                <c:pt idx="6">
                  <c:v>146</c:v>
                </c:pt>
                <c:pt idx="7">
                  <c:v>146</c:v>
                </c:pt>
              </c:numCache>
            </c:numRef>
          </c:xVal>
          <c:yVal>
            <c:numRef>
              <c:f>'March 2023 Data'!$I$21:$I$28</c:f>
              <c:numCache>
                <c:formatCode>General</c:formatCode>
                <c:ptCount val="8"/>
                <c:pt idx="0">
                  <c:v>171</c:v>
                </c:pt>
                <c:pt idx="1">
                  <c:v>191</c:v>
                </c:pt>
                <c:pt idx="2">
                  <c:v>182</c:v>
                </c:pt>
                <c:pt idx="3">
                  <c:v>184</c:v>
                </c:pt>
                <c:pt idx="4">
                  <c:v>188</c:v>
                </c:pt>
                <c:pt idx="5">
                  <c:v>184</c:v>
                </c:pt>
                <c:pt idx="6">
                  <c:v>175</c:v>
                </c:pt>
                <c:pt idx="7">
                  <c:v>187</c:v>
                </c:pt>
              </c:numCache>
            </c:numRef>
          </c:yVal>
          <c:smooth val="0"/>
          <c:extLst>
            <c:ext xmlns:c15="http://schemas.microsoft.com/office/drawing/2012/chart" uri="{02D57815-91ED-43cb-92C2-25804820EDAC}">
              <c15:datalabelsRange>
                <c15:f>'March 2023 Data'!$A$21:$A$28</c15:f>
                <c15:dlblRangeCache>
                  <c:ptCount val="8"/>
                  <c:pt idx="0">
                    <c:v>Midorifuji</c:v>
                  </c:pt>
                  <c:pt idx="1">
                    <c:v>Kotoshoho</c:v>
                  </c:pt>
                  <c:pt idx="2">
                    <c:v>Sadanoumi</c:v>
                  </c:pt>
                  <c:pt idx="3">
                    <c:v>Endo</c:v>
                  </c:pt>
                  <c:pt idx="4">
                    <c:v>Takayasu</c:v>
                  </c:pt>
                  <c:pt idx="5">
                    <c:v>Hokutofuji</c:v>
                  </c:pt>
                  <c:pt idx="6">
                    <c:v>Ura</c:v>
                  </c:pt>
                  <c:pt idx="7">
                    <c:v>Ichiyamamoto</c:v>
                  </c:pt>
                </c15:dlblRangeCache>
              </c15:datalabelsRange>
            </c:ext>
            <c:ext xmlns:c16="http://schemas.microsoft.com/office/drawing/2014/chart" uri="{C3380CC4-5D6E-409C-BE32-E72D297353CC}">
              <c16:uniqueId val="{0000001F-5B85-4AE0-8D30-117960B5E123}"/>
            </c:ext>
          </c:extLst>
        </c:ser>
        <c:ser>
          <c:idx val="6"/>
          <c:order val="6"/>
          <c:tx>
            <c:v>M09-12</c:v>
          </c:tx>
          <c:spPr>
            <a:ln w="25400" cap="rnd">
              <a:noFill/>
              <a:round/>
            </a:ln>
            <a:effectLst/>
          </c:spPr>
          <c:marker>
            <c:symbol val="circle"/>
            <c:size val="6"/>
            <c:spPr>
              <a:solidFill>
                <a:schemeClr val="accent3">
                  <a:alpha val="57000"/>
                </a:schemeClr>
              </a:solidFill>
              <a:ln w="9525">
                <a:solidFill>
                  <a:schemeClr val="bg2">
                    <a:lumMod val="75000"/>
                  </a:schemeClr>
                </a:solidFill>
              </a:ln>
              <a:effectLst/>
            </c:spPr>
          </c:marker>
          <c:dLbls>
            <c:dLbl>
              <c:idx val="0"/>
              <c:tx>
                <c:rich>
                  <a:bodyPr/>
                  <a:lstStyle/>
                  <a:p>
                    <a:fld id="{3E038469-2E4C-49AD-8107-96C52E6B44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B85-4AE0-8D30-117960B5E123}"/>
                </c:ext>
              </c:extLst>
            </c:dLbl>
            <c:dLbl>
              <c:idx val="1"/>
              <c:tx>
                <c:rich>
                  <a:bodyPr/>
                  <a:lstStyle/>
                  <a:p>
                    <a:fld id="{E9D9FD81-1302-4D48-9953-647DA938DA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B85-4AE0-8D30-117960B5E123}"/>
                </c:ext>
              </c:extLst>
            </c:dLbl>
            <c:dLbl>
              <c:idx val="2"/>
              <c:layout>
                <c:manualLayout>
                  <c:x val="-4.252978672865107E-2"/>
                  <c:y val="1.4141414141414068E-2"/>
                </c:manualLayout>
              </c:layout>
              <c:tx>
                <c:rich>
                  <a:bodyPr/>
                  <a:lstStyle/>
                  <a:p>
                    <a:fld id="{512922C4-2F18-4EF0-A1F7-10F009AF65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5B85-4AE0-8D30-117960B5E123}"/>
                </c:ext>
              </c:extLst>
            </c:dLbl>
            <c:dLbl>
              <c:idx val="3"/>
              <c:layout>
                <c:manualLayout>
                  <c:x val="-1.4665443699535389E-3"/>
                  <c:y val="-2.0202020202020204E-2"/>
                </c:manualLayout>
              </c:layout>
              <c:tx>
                <c:rich>
                  <a:bodyPr/>
                  <a:lstStyle/>
                  <a:p>
                    <a:fld id="{3486D403-8A0A-42F6-B762-AE473A1CD6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5B85-4AE0-8D30-117960B5E123}"/>
                </c:ext>
              </c:extLst>
            </c:dLbl>
            <c:dLbl>
              <c:idx val="4"/>
              <c:tx>
                <c:rich>
                  <a:bodyPr/>
                  <a:lstStyle/>
                  <a:p>
                    <a:fld id="{91BF0808-67E2-495C-BEA6-6C210EF9A2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5B85-4AE0-8D30-117960B5E123}"/>
                </c:ext>
              </c:extLst>
            </c:dLbl>
            <c:dLbl>
              <c:idx val="5"/>
              <c:tx>
                <c:rich>
                  <a:bodyPr/>
                  <a:lstStyle/>
                  <a:p>
                    <a:fld id="{7DAEDFB7-2B89-46BA-AA4C-EDC61DD85C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5B85-4AE0-8D30-117960B5E123}"/>
                </c:ext>
              </c:extLst>
            </c:dLbl>
            <c:dLbl>
              <c:idx val="6"/>
              <c:tx>
                <c:rich>
                  <a:bodyPr/>
                  <a:lstStyle/>
                  <a:p>
                    <a:fld id="{E3AADC5E-09B1-483F-9CBA-9453B40100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5B85-4AE0-8D30-117960B5E123}"/>
                </c:ext>
              </c:extLst>
            </c:dLbl>
            <c:dLbl>
              <c:idx val="7"/>
              <c:tx>
                <c:rich>
                  <a:bodyPr/>
                  <a:lstStyle/>
                  <a:p>
                    <a:fld id="{EEDEFD90-3DEB-4C7D-8394-0ADC70570A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Data'!$J$29:$J$36</c:f>
              <c:numCache>
                <c:formatCode>General</c:formatCode>
                <c:ptCount val="8"/>
                <c:pt idx="0">
                  <c:v>189</c:v>
                </c:pt>
                <c:pt idx="1">
                  <c:v>135</c:v>
                </c:pt>
                <c:pt idx="2">
                  <c:v>150</c:v>
                </c:pt>
                <c:pt idx="3">
                  <c:v>156</c:v>
                </c:pt>
                <c:pt idx="4">
                  <c:v>165</c:v>
                </c:pt>
                <c:pt idx="5">
                  <c:v>159</c:v>
                </c:pt>
                <c:pt idx="6">
                  <c:v>156</c:v>
                </c:pt>
                <c:pt idx="7">
                  <c:v>171</c:v>
                </c:pt>
              </c:numCache>
            </c:numRef>
          </c:xVal>
          <c:yVal>
            <c:numRef>
              <c:f>'March 2023 Data'!$I$29:$I$36</c:f>
              <c:numCache>
                <c:formatCode>General</c:formatCode>
                <c:ptCount val="8"/>
                <c:pt idx="0">
                  <c:v>191</c:v>
                </c:pt>
                <c:pt idx="1">
                  <c:v>177</c:v>
                </c:pt>
                <c:pt idx="2">
                  <c:v>184</c:v>
                </c:pt>
                <c:pt idx="3">
                  <c:v>188</c:v>
                </c:pt>
                <c:pt idx="4">
                  <c:v>183</c:v>
                </c:pt>
                <c:pt idx="5">
                  <c:v>192</c:v>
                </c:pt>
                <c:pt idx="6">
                  <c:v>193</c:v>
                </c:pt>
                <c:pt idx="7">
                  <c:v>186</c:v>
                </c:pt>
              </c:numCache>
            </c:numRef>
          </c:yVal>
          <c:smooth val="0"/>
          <c:extLst>
            <c:ext xmlns:c15="http://schemas.microsoft.com/office/drawing/2012/chart" uri="{02D57815-91ED-43cb-92C2-25804820EDAC}">
              <c15:datalabelsRange>
                <c15:f>'March 2023 Data'!$A$29:$A$36</c15:f>
                <c15:dlblRangeCache>
                  <c:ptCount val="8"/>
                  <c:pt idx="0">
                    <c:v>Aoiyama</c:v>
                  </c:pt>
                  <c:pt idx="1">
                    <c:v>Hiradoumi</c:v>
                  </c:pt>
                  <c:pt idx="2">
                    <c:v>Nishikifuji</c:v>
                  </c:pt>
                  <c:pt idx="3">
                    <c:v>Myogiryu</c:v>
                  </c:pt>
                  <c:pt idx="4">
                    <c:v>Takanosho</c:v>
                  </c:pt>
                  <c:pt idx="5">
                    <c:v>Azumaryu</c:v>
                  </c:pt>
                  <c:pt idx="6">
                    <c:v>Kagayaki</c:v>
                  </c:pt>
                  <c:pt idx="7">
                    <c:v>Takarafuji</c:v>
                  </c:pt>
                </c15:dlblRangeCache>
              </c15:datalabelsRange>
            </c:ext>
            <c:ext xmlns:c16="http://schemas.microsoft.com/office/drawing/2014/chart" uri="{C3380CC4-5D6E-409C-BE32-E72D297353CC}">
              <c16:uniqueId val="{00000028-5B85-4AE0-8D30-117960B5E123}"/>
            </c:ext>
          </c:extLst>
        </c:ser>
        <c:ser>
          <c:idx val="7"/>
          <c:order val="7"/>
          <c:tx>
            <c:v>M13-17</c:v>
          </c:tx>
          <c:spPr>
            <a:ln w="25400" cap="rnd">
              <a:noFill/>
              <a:round/>
            </a:ln>
            <a:effectLst/>
          </c:spPr>
          <c:marker>
            <c:symbol val="circle"/>
            <c:size val="6"/>
            <c:spPr>
              <a:solidFill>
                <a:schemeClr val="accent4">
                  <a:alpha val="48000"/>
                </a:schemeClr>
              </a:solidFill>
              <a:ln w="9525">
                <a:solidFill>
                  <a:schemeClr val="bg2">
                    <a:lumMod val="75000"/>
                  </a:schemeClr>
                </a:solidFill>
              </a:ln>
              <a:effectLst/>
            </c:spPr>
          </c:marker>
          <c:dLbls>
            <c:dLbl>
              <c:idx val="0"/>
              <c:tx>
                <c:rich>
                  <a:bodyPr/>
                  <a:lstStyle/>
                  <a:p>
                    <a:fld id="{149A4F9F-277A-42DF-AED9-B9F9F39437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5B85-4AE0-8D30-117960B5E123}"/>
                </c:ext>
              </c:extLst>
            </c:dLbl>
            <c:dLbl>
              <c:idx val="1"/>
              <c:tx>
                <c:rich>
                  <a:bodyPr/>
                  <a:lstStyle/>
                  <a:p>
                    <a:fld id="{C408C110-367A-4C50-BA6A-7D152829AF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5B85-4AE0-8D30-117960B5E123}"/>
                </c:ext>
              </c:extLst>
            </c:dLbl>
            <c:dLbl>
              <c:idx val="2"/>
              <c:layout>
                <c:manualLayout>
                  <c:x val="-4.3996331098604555E-2"/>
                  <c:y val="-2.6262626262626262E-2"/>
                </c:manualLayout>
              </c:layout>
              <c:tx>
                <c:rich>
                  <a:bodyPr/>
                  <a:lstStyle/>
                  <a:p>
                    <a:fld id="{951282C3-2247-4C59-8F1E-D70625EBF5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5B85-4AE0-8D30-117960B5E123}"/>
                </c:ext>
              </c:extLst>
            </c:dLbl>
            <c:dLbl>
              <c:idx val="3"/>
              <c:tx>
                <c:rich>
                  <a:bodyPr/>
                  <a:lstStyle/>
                  <a:p>
                    <a:fld id="{376F73BE-A3F2-4B37-B6B2-A1AFF449A5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5B85-4AE0-8D30-117960B5E123}"/>
                </c:ext>
              </c:extLst>
            </c:dLbl>
            <c:dLbl>
              <c:idx val="4"/>
              <c:tx>
                <c:rich>
                  <a:bodyPr/>
                  <a:lstStyle/>
                  <a:p>
                    <a:fld id="{0164A5B9-AEE4-4EEB-BA23-D2BA478C1E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5B85-4AE0-8D30-117960B5E123}"/>
                </c:ext>
              </c:extLst>
            </c:dLbl>
            <c:dLbl>
              <c:idx val="5"/>
              <c:tx>
                <c:rich>
                  <a:bodyPr/>
                  <a:lstStyle/>
                  <a:p>
                    <a:fld id="{6E0C760D-E242-41EB-98DF-94C36557A3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5B85-4AE0-8D30-117960B5E123}"/>
                </c:ext>
              </c:extLst>
            </c:dLbl>
            <c:dLbl>
              <c:idx val="6"/>
              <c:tx>
                <c:rich>
                  <a:bodyPr/>
                  <a:lstStyle/>
                  <a:p>
                    <a:fld id="{46B4C9FB-91BC-407F-8BD1-46F6AD3563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5B85-4AE0-8D30-117960B5E123}"/>
                </c:ext>
              </c:extLst>
            </c:dLbl>
            <c:dLbl>
              <c:idx val="7"/>
              <c:tx>
                <c:rich>
                  <a:bodyPr/>
                  <a:lstStyle/>
                  <a:p>
                    <a:fld id="{C5E6943A-3C34-4090-BDD7-86508D8193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5B85-4AE0-8D30-117960B5E123}"/>
                </c:ext>
              </c:extLst>
            </c:dLbl>
            <c:dLbl>
              <c:idx val="8"/>
              <c:tx>
                <c:rich>
                  <a:bodyPr/>
                  <a:lstStyle/>
                  <a:p>
                    <a:fld id="{E7B2592B-C00B-43A1-B643-C264A730AE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Data'!$J$37:$J$45</c:f>
              <c:numCache>
                <c:formatCode>General</c:formatCode>
                <c:ptCount val="9"/>
                <c:pt idx="0">
                  <c:v>129</c:v>
                </c:pt>
                <c:pt idx="1">
                  <c:v>189</c:v>
                </c:pt>
                <c:pt idx="2">
                  <c:v>174</c:v>
                </c:pt>
                <c:pt idx="3">
                  <c:v>171</c:v>
                </c:pt>
                <c:pt idx="4">
                  <c:v>178</c:v>
                </c:pt>
                <c:pt idx="5">
                  <c:v>177</c:v>
                </c:pt>
                <c:pt idx="6">
                  <c:v>137</c:v>
                </c:pt>
                <c:pt idx="7">
                  <c:v>200</c:v>
                </c:pt>
                <c:pt idx="8">
                  <c:v>194</c:v>
                </c:pt>
              </c:numCache>
            </c:numRef>
          </c:xVal>
          <c:yVal>
            <c:numRef>
              <c:f>'March 2023 Data'!$I$37:$I$45</c:f>
              <c:numCache>
                <c:formatCode>General</c:formatCode>
                <c:ptCount val="9"/>
                <c:pt idx="0">
                  <c:v>176</c:v>
                </c:pt>
                <c:pt idx="1">
                  <c:v>185</c:v>
                </c:pt>
                <c:pt idx="2">
                  <c:v>192</c:v>
                </c:pt>
                <c:pt idx="3">
                  <c:v>171</c:v>
                </c:pt>
                <c:pt idx="4">
                  <c:v>190</c:v>
                </c:pt>
                <c:pt idx="5">
                  <c:v>204</c:v>
                </c:pt>
                <c:pt idx="6">
                  <c:v>184</c:v>
                </c:pt>
                <c:pt idx="7">
                  <c:v>185</c:v>
                </c:pt>
                <c:pt idx="8">
                  <c:v>189</c:v>
                </c:pt>
              </c:numCache>
            </c:numRef>
          </c:yVal>
          <c:smooth val="0"/>
          <c:extLst>
            <c:ext xmlns:c15="http://schemas.microsoft.com/office/drawing/2012/chart" uri="{02D57815-91ED-43cb-92C2-25804820EDAC}">
              <c15:datalabelsRange>
                <c15:f>'March 2023 Data'!$A$37:$A$45</c15:f>
                <c15:dlblRangeCache>
                  <c:ptCount val="9"/>
                  <c:pt idx="0">
                    <c:v>Kotoeko</c:v>
                  </c:pt>
                  <c:pt idx="1">
                    <c:v>Daishoho</c:v>
                  </c:pt>
                  <c:pt idx="2">
                    <c:v>Kinbozan</c:v>
                  </c:pt>
                  <c:pt idx="3">
                    <c:v>Bushozan</c:v>
                  </c:pt>
                  <c:pt idx="4">
                    <c:v>Oho</c:v>
                  </c:pt>
                  <c:pt idx="5">
                    <c:v>Hokuseiho</c:v>
                  </c:pt>
                  <c:pt idx="6">
                    <c:v>Chiyoshoma</c:v>
                  </c:pt>
                  <c:pt idx="7">
                    <c:v>Tsurugisho</c:v>
                  </c:pt>
                  <c:pt idx="8">
                    <c:v>Mitoryu</c:v>
                  </c:pt>
                </c15:dlblRangeCache>
              </c15:datalabelsRange>
            </c:ext>
            <c:ext xmlns:c16="http://schemas.microsoft.com/office/drawing/2014/chart" uri="{C3380CC4-5D6E-409C-BE32-E72D297353CC}">
              <c16:uniqueId val="{00000031-5B85-4AE0-8D30-117960B5E123}"/>
            </c:ext>
          </c:extLst>
        </c:ser>
        <c:dLbls>
          <c:showLegendKey val="0"/>
          <c:showVal val="0"/>
          <c:showCatName val="0"/>
          <c:showSerName val="0"/>
          <c:showPercent val="0"/>
          <c:showBubbleSize val="0"/>
        </c:dLbls>
        <c:axId val="745971600"/>
        <c:axId val="745971928"/>
      </c:scatterChart>
      <c:valAx>
        <c:axId val="745971600"/>
        <c:scaling>
          <c:orientation val="minMax"/>
          <c:max val="21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in val="16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May 2023 Makuuchi Wrestlers </a:t>
            </a:r>
          </a:p>
        </c:rich>
      </c:tx>
      <c:layout>
        <c:manualLayout>
          <c:xMode val="edge"/>
          <c:yMode val="edge"/>
          <c:x val="0.30492390540072861"/>
          <c:y val="1.61616161616161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0855586604468249E-2"/>
          <c:y val="7.8989421776823346E-2"/>
          <c:w val="0.81188907136193378"/>
          <c:h val="0.85594431898299383"/>
        </c:manualLayout>
      </c:layout>
      <c:scatterChart>
        <c:scatterStyle val="lineMarker"/>
        <c:varyColors val="0"/>
        <c:ser>
          <c:idx val="0"/>
          <c:order val="0"/>
          <c:tx>
            <c:v>Yokozuna</c:v>
          </c:tx>
          <c:spPr>
            <a:ln w="25400" cap="rnd">
              <a:noFill/>
              <a:round/>
            </a:ln>
            <a:effectLst/>
          </c:spPr>
          <c:marker>
            <c:symbol val="circle"/>
            <c:size val="20"/>
            <c:spPr>
              <a:solidFill>
                <a:schemeClr val="accent1"/>
              </a:solidFill>
              <a:ln w="9525">
                <a:solidFill>
                  <a:schemeClr val="accent6">
                    <a:lumMod val="60000"/>
                    <a:alpha val="85000"/>
                  </a:schemeClr>
                </a:solidFill>
              </a:ln>
              <a:effectLst/>
            </c:spPr>
          </c:marker>
          <c:dLbls>
            <c:dLbl>
              <c:idx val="0"/>
              <c:layout>
                <c:manualLayout>
                  <c:x val="-1.9065076809395308E-2"/>
                  <c:y val="-4.4444444444444446E-2"/>
                </c:manualLayout>
              </c:layout>
              <c:tx>
                <c:rich>
                  <a:bodyPr/>
                  <a:lstStyle/>
                  <a:p>
                    <a:fld id="{D6AA86C1-760E-4E82-9353-D0D3D9028E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6A53-4CC9-BC04-CCB306452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'May 2023 Data'!$L$4</c:f>
              <c:numCache>
                <c:formatCode>General</c:formatCode>
                <c:ptCount val="1"/>
                <c:pt idx="0">
                  <c:v>174</c:v>
                </c:pt>
              </c:numCache>
            </c:numRef>
          </c:xVal>
          <c:yVal>
            <c:numRef>
              <c:f>'May 2023 Data'!$K$4</c:f>
              <c:numCache>
                <c:formatCode>General</c:formatCode>
                <c:ptCount val="1"/>
                <c:pt idx="0">
                  <c:v>192</c:v>
                </c:pt>
              </c:numCache>
            </c:numRef>
          </c:yVal>
          <c:smooth val="0"/>
          <c:extLst>
            <c:ext xmlns:c15="http://schemas.microsoft.com/office/drawing/2012/chart" uri="{02D57815-91ED-43cb-92C2-25804820EDAC}">
              <c15:datalabelsRange>
                <c15:f>'May 2023 Data'!$A$4</c15:f>
                <c15:dlblRangeCache>
                  <c:ptCount val="1"/>
                  <c:pt idx="0">
                    <c:v>Terunofuji</c:v>
                  </c:pt>
                </c15:dlblRangeCache>
              </c15:datalabelsRange>
            </c:ext>
            <c:ext xmlns:c16="http://schemas.microsoft.com/office/drawing/2014/chart" uri="{C3380CC4-5D6E-409C-BE32-E72D297353CC}">
              <c16:uniqueId val="{00000001-6A53-4CC9-BC04-CCB30645214F}"/>
            </c:ext>
          </c:extLst>
        </c:ser>
        <c:ser>
          <c:idx val="1"/>
          <c:order val="1"/>
          <c:tx>
            <c:v>Ozeki</c:v>
          </c:tx>
          <c:spPr>
            <a:ln w="25400" cap="rnd">
              <a:noFill/>
              <a:round/>
            </a:ln>
            <a:effectLst/>
          </c:spPr>
          <c:marker>
            <c:symbol val="circle"/>
            <c:size val="11"/>
            <c:spPr>
              <a:solidFill>
                <a:schemeClr val="accent2"/>
              </a:solidFill>
              <a:ln w="9525">
                <a:solidFill>
                  <a:schemeClr val="accent6">
                    <a:lumMod val="60000"/>
                  </a:schemeClr>
                </a:solidFill>
              </a:ln>
              <a:effectLst/>
            </c:spPr>
          </c:marker>
          <c:dLbls>
            <c:dLbl>
              <c:idx val="0"/>
              <c:tx>
                <c:rich>
                  <a:bodyPr/>
                  <a:lstStyle/>
                  <a:p>
                    <a:fld id="{DFBC9A9E-447A-47BD-83AF-821241C336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A53-4CC9-BC04-CCB306452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'May 2023 Data'!$L$5</c:f>
              <c:numCache>
                <c:formatCode>General</c:formatCode>
                <c:ptCount val="1"/>
                <c:pt idx="0">
                  <c:v>165</c:v>
                </c:pt>
              </c:numCache>
            </c:numRef>
          </c:xVal>
          <c:yVal>
            <c:numRef>
              <c:f>'May 2023 Data'!$K$5</c:f>
              <c:numCache>
                <c:formatCode>General</c:formatCode>
                <c:ptCount val="1"/>
                <c:pt idx="0">
                  <c:v>175</c:v>
                </c:pt>
              </c:numCache>
            </c:numRef>
          </c:yVal>
          <c:smooth val="0"/>
          <c:extLst>
            <c:ext xmlns:c15="http://schemas.microsoft.com/office/drawing/2012/chart" uri="{02D57815-91ED-43cb-92C2-25804820EDAC}">
              <c15:datalabelsRange>
                <c15:f>'May 2023 Data'!$A$5</c15:f>
                <c15:dlblRangeCache>
                  <c:ptCount val="1"/>
                  <c:pt idx="0">
                    <c:v>Takakeisho</c:v>
                  </c:pt>
                </c15:dlblRangeCache>
              </c15:datalabelsRange>
            </c:ext>
            <c:ext xmlns:c16="http://schemas.microsoft.com/office/drawing/2014/chart" uri="{C3380CC4-5D6E-409C-BE32-E72D297353CC}">
              <c16:uniqueId val="{00000003-6A53-4CC9-BC04-CCB30645214F}"/>
            </c:ext>
          </c:extLst>
        </c:ser>
        <c:ser>
          <c:idx val="2"/>
          <c:order val="2"/>
          <c:tx>
            <c:v>Sekiwake</c:v>
          </c:tx>
          <c:spPr>
            <a:ln w="25400" cap="rnd">
              <a:noFill/>
              <a:round/>
            </a:ln>
            <a:effectLst/>
          </c:spPr>
          <c:marker>
            <c:symbol val="circle"/>
            <c:size val="15"/>
            <c:spPr>
              <a:solidFill>
                <a:schemeClr val="accent3"/>
              </a:solidFill>
              <a:ln w="9525">
                <a:solidFill>
                  <a:schemeClr val="accent6">
                    <a:lumMod val="60000"/>
                  </a:schemeClr>
                </a:solidFill>
              </a:ln>
              <a:effectLst/>
            </c:spPr>
          </c:marker>
          <c:dLbls>
            <c:dLbl>
              <c:idx val="0"/>
              <c:tx>
                <c:rich>
                  <a:bodyPr/>
                  <a:lstStyle/>
                  <a:p>
                    <a:fld id="{36B81F56-A11E-4061-A92C-9514B5D844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A53-4CC9-BC04-CCB30645214F}"/>
                </c:ext>
              </c:extLst>
            </c:dLbl>
            <c:dLbl>
              <c:idx val="1"/>
              <c:layout>
                <c:manualLayout>
                  <c:x val="-8.7992662197209654E-3"/>
                  <c:y val="-2.2222222222222223E-2"/>
                </c:manualLayout>
              </c:layout>
              <c:tx>
                <c:rich>
                  <a:bodyPr/>
                  <a:lstStyle/>
                  <a:p>
                    <a:fld id="{FB98E109-6446-4D3E-8197-7FACBCD9DE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6A53-4CC9-BC04-CCB30645214F}"/>
                </c:ext>
              </c:extLst>
            </c:dLbl>
            <c:dLbl>
              <c:idx val="2"/>
              <c:tx>
                <c:rich>
                  <a:bodyPr/>
                  <a:lstStyle/>
                  <a:p>
                    <a:fld id="{AF954137-4752-460F-AED4-DE84B87824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A53-4CC9-BC04-CCB30645214F}"/>
                </c:ext>
              </c:extLst>
            </c:dLbl>
            <c:dLbl>
              <c:idx val="3"/>
              <c:tx>
                <c:rich>
                  <a:bodyPr/>
                  <a:lstStyle/>
                  <a:p>
                    <a:fld id="{1D4E8A27-7C19-41C7-80C7-D442F52450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6A53-4CC9-BC04-CCB306452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'May 2023 Data'!$L$6:$L$9</c:f>
              <c:numCache>
                <c:formatCode>General</c:formatCode>
                <c:ptCount val="4"/>
                <c:pt idx="0">
                  <c:v>143</c:v>
                </c:pt>
                <c:pt idx="1">
                  <c:v>142</c:v>
                </c:pt>
                <c:pt idx="2">
                  <c:v>147</c:v>
                </c:pt>
                <c:pt idx="3">
                  <c:v>164</c:v>
                </c:pt>
              </c:numCache>
            </c:numRef>
          </c:xVal>
          <c:yVal>
            <c:numRef>
              <c:f>'May 2023 Data'!$K$6:$K$9</c:f>
              <c:numCache>
                <c:formatCode>General</c:formatCode>
                <c:ptCount val="4"/>
                <c:pt idx="0">
                  <c:v>186</c:v>
                </c:pt>
                <c:pt idx="1">
                  <c:v>188</c:v>
                </c:pt>
                <c:pt idx="2">
                  <c:v>187</c:v>
                </c:pt>
                <c:pt idx="3">
                  <c:v>182</c:v>
                </c:pt>
              </c:numCache>
            </c:numRef>
          </c:yVal>
          <c:smooth val="0"/>
          <c:extLst>
            <c:ext xmlns:c15="http://schemas.microsoft.com/office/drawing/2012/chart" uri="{02D57815-91ED-43cb-92C2-25804820EDAC}">
              <c15:datalabelsRange>
                <c15:f>'May 2023 Data'!$A$6:$A$9</c15:f>
                <c15:dlblRangeCache>
                  <c:ptCount val="4"/>
                  <c:pt idx="0">
                    <c:v>Kirishima</c:v>
                  </c:pt>
                  <c:pt idx="1">
                    <c:v>Hoshoryu</c:v>
                  </c:pt>
                  <c:pt idx="2">
                    <c:v>Wakamotoharu</c:v>
                  </c:pt>
                  <c:pt idx="3">
                    <c:v>Daieisho</c:v>
                  </c:pt>
                </c15:dlblRangeCache>
              </c15:datalabelsRange>
            </c:ext>
            <c:ext xmlns:c16="http://schemas.microsoft.com/office/drawing/2014/chart" uri="{C3380CC4-5D6E-409C-BE32-E72D297353CC}">
              <c16:uniqueId val="{00000007-6A53-4CC9-BC04-CCB30645214F}"/>
            </c:ext>
          </c:extLst>
        </c:ser>
        <c:ser>
          <c:idx val="3"/>
          <c:order val="3"/>
          <c:tx>
            <c:v>Komusubi</c:v>
          </c:tx>
          <c:spPr>
            <a:ln w="25400" cap="rnd">
              <a:noFill/>
              <a:round/>
            </a:ln>
            <a:effectLst/>
          </c:spPr>
          <c:marker>
            <c:symbol val="circle"/>
            <c:size val="12"/>
            <c:spPr>
              <a:solidFill>
                <a:schemeClr val="accent4"/>
              </a:solidFill>
              <a:ln w="9525">
                <a:solidFill>
                  <a:schemeClr val="accent6">
                    <a:lumMod val="60000"/>
                  </a:schemeClr>
                </a:solidFill>
              </a:ln>
              <a:effectLst/>
            </c:spPr>
          </c:marker>
          <c:dLbls>
            <c:dLbl>
              <c:idx val="0"/>
              <c:tx>
                <c:rich>
                  <a:bodyPr/>
                  <a:lstStyle/>
                  <a:p>
                    <a:fld id="{92697F7F-985E-4007-8FC6-8C678C8232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A53-4CC9-BC04-CCB30645214F}"/>
                </c:ext>
              </c:extLst>
            </c:dLbl>
            <c:dLbl>
              <c:idx val="1"/>
              <c:tx>
                <c:rich>
                  <a:bodyPr/>
                  <a:lstStyle/>
                  <a:p>
                    <a:fld id="{D0FBB40E-5EB8-4FBA-AECA-5BDE61E77D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A53-4CC9-BC04-CCB30645214F}"/>
                </c:ext>
              </c:extLst>
            </c:dLbl>
            <c:dLbl>
              <c:idx val="2"/>
              <c:tx>
                <c:rich>
                  <a:bodyPr/>
                  <a:lstStyle/>
                  <a:p>
                    <a:fld id="{75C16374-D8AC-405C-9D69-7793DA53D5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A53-4CC9-BC04-CCB306452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'May 2023 Data'!$L$10:$L$12</c:f>
              <c:numCache>
                <c:formatCode>General</c:formatCode>
                <c:ptCount val="3"/>
                <c:pt idx="0">
                  <c:v>176</c:v>
                </c:pt>
                <c:pt idx="1">
                  <c:v>158</c:v>
                </c:pt>
                <c:pt idx="2">
                  <c:v>135</c:v>
                </c:pt>
              </c:numCache>
            </c:numRef>
          </c:xVal>
          <c:yVal>
            <c:numRef>
              <c:f>'May 2023 Data'!$K$10:$K$12</c:f>
              <c:numCache>
                <c:formatCode>General</c:formatCode>
                <c:ptCount val="3"/>
                <c:pt idx="0">
                  <c:v>189</c:v>
                </c:pt>
                <c:pt idx="1">
                  <c:v>186</c:v>
                </c:pt>
                <c:pt idx="2">
                  <c:v>174</c:v>
                </c:pt>
              </c:numCache>
            </c:numRef>
          </c:yVal>
          <c:smooth val="0"/>
          <c:extLst>
            <c:ext xmlns:c15="http://schemas.microsoft.com/office/drawing/2012/chart" uri="{02D57815-91ED-43cb-92C2-25804820EDAC}">
              <c15:datalabelsRange>
                <c15:f>'May 2023 Data'!$A$10:$A$12</c15:f>
                <c15:dlblRangeCache>
                  <c:ptCount val="3"/>
                  <c:pt idx="0">
                    <c:v>Kotonowaka</c:v>
                  </c:pt>
                  <c:pt idx="1">
                    <c:v>Abi</c:v>
                  </c:pt>
                  <c:pt idx="2">
                    <c:v>Tobizaru</c:v>
                  </c:pt>
                </c15:dlblRangeCache>
              </c15:datalabelsRange>
            </c:ext>
            <c:ext xmlns:c16="http://schemas.microsoft.com/office/drawing/2014/chart" uri="{C3380CC4-5D6E-409C-BE32-E72D297353CC}">
              <c16:uniqueId val="{0000000C-6A53-4CC9-BC04-CCB30645214F}"/>
            </c:ext>
          </c:extLst>
        </c:ser>
        <c:ser>
          <c:idx val="4"/>
          <c:order val="4"/>
          <c:tx>
            <c:v>M01-04</c:v>
          </c:tx>
          <c:spPr>
            <a:ln w="25400" cap="rnd">
              <a:noFill/>
              <a:round/>
            </a:ln>
            <a:effectLst/>
          </c:spPr>
          <c:marker>
            <c:symbol val="circle"/>
            <c:size val="10"/>
            <c:spPr>
              <a:solidFill>
                <a:schemeClr val="accent1">
                  <a:alpha val="73000"/>
                </a:schemeClr>
              </a:solidFill>
              <a:ln w="9525">
                <a:solidFill>
                  <a:schemeClr val="tx1">
                    <a:lumMod val="50000"/>
                    <a:lumOff val="50000"/>
                  </a:schemeClr>
                </a:solidFill>
              </a:ln>
              <a:effectLst/>
            </c:spPr>
          </c:marker>
          <c:dLbls>
            <c:dLbl>
              <c:idx val="0"/>
              <c:tx>
                <c:rich>
                  <a:bodyPr/>
                  <a:lstStyle/>
                  <a:p>
                    <a:fld id="{29EBDF85-107C-4B52-9C99-9B7F33987C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A53-4CC9-BC04-CCB30645214F}"/>
                </c:ext>
              </c:extLst>
            </c:dLbl>
            <c:dLbl>
              <c:idx val="1"/>
              <c:tx>
                <c:rich>
                  <a:bodyPr/>
                  <a:lstStyle/>
                  <a:p>
                    <a:fld id="{844B7F78-D0EA-49F9-9039-5E3C8AFFE8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A53-4CC9-BC04-CCB30645214F}"/>
                </c:ext>
              </c:extLst>
            </c:dLbl>
            <c:dLbl>
              <c:idx val="2"/>
              <c:tx>
                <c:rich>
                  <a:bodyPr/>
                  <a:lstStyle/>
                  <a:p>
                    <a:fld id="{3485430A-FE8F-4B59-A717-3960E1CE0A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A53-4CC9-BC04-CCB30645214F}"/>
                </c:ext>
              </c:extLst>
            </c:dLbl>
            <c:dLbl>
              <c:idx val="3"/>
              <c:tx>
                <c:rich>
                  <a:bodyPr/>
                  <a:lstStyle/>
                  <a:p>
                    <a:fld id="{2C61BA43-4345-4662-9EA3-8FBC81032B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A53-4CC9-BC04-CCB30645214F}"/>
                </c:ext>
              </c:extLst>
            </c:dLbl>
            <c:dLbl>
              <c:idx val="4"/>
              <c:tx>
                <c:rich>
                  <a:bodyPr/>
                  <a:lstStyle/>
                  <a:p>
                    <a:fld id="{43D50636-6C6E-4502-93DB-982CEA806F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A53-4CC9-BC04-CCB30645214F}"/>
                </c:ext>
              </c:extLst>
            </c:dLbl>
            <c:dLbl>
              <c:idx val="5"/>
              <c:tx>
                <c:rich>
                  <a:bodyPr/>
                  <a:lstStyle/>
                  <a:p>
                    <a:fld id="{FFFE66D6-64F1-45FD-B804-7FF7877473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A53-4CC9-BC04-CCB30645214F}"/>
                </c:ext>
              </c:extLst>
            </c:dLbl>
            <c:dLbl>
              <c:idx val="6"/>
              <c:layout>
                <c:manualLayout>
                  <c:x val="-2.4931254289209247E-2"/>
                  <c:y val="2.8282828282828285E-2"/>
                </c:manualLayout>
              </c:layout>
              <c:tx>
                <c:rich>
                  <a:bodyPr/>
                  <a:lstStyle/>
                  <a:p>
                    <a:fld id="{313DBAC6-690D-4C5F-846E-5670442491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6A53-4CC9-BC04-CCB30645214F}"/>
                </c:ext>
              </c:extLst>
            </c:dLbl>
            <c:dLbl>
              <c:idx val="7"/>
              <c:tx>
                <c:rich>
                  <a:bodyPr/>
                  <a:lstStyle/>
                  <a:p>
                    <a:fld id="{7C2194DC-D7F7-4617-9A03-519CDECBAE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A53-4CC9-BC04-CCB306452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'May 2023 Data'!$L$13:$L$20</c:f>
              <c:numCache>
                <c:formatCode>General</c:formatCode>
                <c:ptCount val="8"/>
                <c:pt idx="0">
                  <c:v>180</c:v>
                </c:pt>
                <c:pt idx="1">
                  <c:v>161</c:v>
                </c:pt>
                <c:pt idx="2">
                  <c:v>170</c:v>
                </c:pt>
                <c:pt idx="3">
                  <c:v>116</c:v>
                </c:pt>
                <c:pt idx="4">
                  <c:v>154</c:v>
                </c:pt>
                <c:pt idx="5">
                  <c:v>143</c:v>
                </c:pt>
                <c:pt idx="6">
                  <c:v>168</c:v>
                </c:pt>
                <c:pt idx="7">
                  <c:v>165</c:v>
                </c:pt>
              </c:numCache>
            </c:numRef>
          </c:xVal>
          <c:yVal>
            <c:numRef>
              <c:f>'May 2023 Data'!$K$13:$K$20</c:f>
              <c:numCache>
                <c:formatCode>General</c:formatCode>
                <c:ptCount val="8"/>
                <c:pt idx="0">
                  <c:v>185</c:v>
                </c:pt>
                <c:pt idx="1">
                  <c:v>184</c:v>
                </c:pt>
                <c:pt idx="2">
                  <c:v>179</c:v>
                </c:pt>
                <c:pt idx="3">
                  <c:v>171</c:v>
                </c:pt>
                <c:pt idx="4">
                  <c:v>180</c:v>
                </c:pt>
                <c:pt idx="5">
                  <c:v>175</c:v>
                </c:pt>
                <c:pt idx="6">
                  <c:v>189</c:v>
                </c:pt>
                <c:pt idx="7">
                  <c:v>177</c:v>
                </c:pt>
              </c:numCache>
            </c:numRef>
          </c:yVal>
          <c:smooth val="0"/>
          <c:extLst>
            <c:ext xmlns:c15="http://schemas.microsoft.com/office/drawing/2012/chart" uri="{02D57815-91ED-43cb-92C2-25804820EDAC}">
              <c15:datalabelsRange>
                <c15:f>'May 2023 Data'!$A$37:$A$45</c15:f>
                <c15:dlblRangeCache>
                  <c:ptCount val="9"/>
                  <c:pt idx="0">
                    <c:v>Gonoyama</c:v>
                  </c:pt>
                  <c:pt idx="1">
                    <c:v>Daishoho</c:v>
                  </c:pt>
                  <c:pt idx="2">
                    <c:v>Shonannoumi</c:v>
                  </c:pt>
                  <c:pt idx="3">
                    <c:v>Ryuden</c:v>
                  </c:pt>
                  <c:pt idx="4">
                    <c:v>Takarafuji</c:v>
                  </c:pt>
                  <c:pt idx="5">
                    <c:v>Endo</c:v>
                  </c:pt>
                  <c:pt idx="6">
                    <c:v>Bushozan</c:v>
                  </c:pt>
                  <c:pt idx="7">
                    <c:v>Aoiyama</c:v>
                  </c:pt>
                  <c:pt idx="8">
                    <c:v>Hakuoho</c:v>
                  </c:pt>
                </c15:dlblRangeCache>
              </c15:datalabelsRange>
            </c:ext>
            <c:ext xmlns:c16="http://schemas.microsoft.com/office/drawing/2014/chart" uri="{C3380CC4-5D6E-409C-BE32-E72D297353CC}">
              <c16:uniqueId val="{00000015-6A53-4CC9-BC04-CCB30645214F}"/>
            </c:ext>
          </c:extLst>
        </c:ser>
        <c:ser>
          <c:idx val="5"/>
          <c:order val="5"/>
          <c:tx>
            <c:v>M05-08</c:v>
          </c:tx>
          <c:spPr>
            <a:ln w="25400" cap="rnd">
              <a:noFill/>
              <a:round/>
            </a:ln>
            <a:effectLst/>
          </c:spPr>
          <c:marker>
            <c:symbol val="circle"/>
            <c:size val="8"/>
            <c:spPr>
              <a:solidFill>
                <a:schemeClr val="accent2">
                  <a:alpha val="76000"/>
                </a:schemeClr>
              </a:solidFill>
              <a:ln w="9525">
                <a:solidFill>
                  <a:schemeClr val="tx1">
                    <a:lumMod val="50000"/>
                    <a:lumOff val="50000"/>
                  </a:schemeClr>
                </a:solidFill>
              </a:ln>
              <a:effectLst/>
            </c:spPr>
          </c:marker>
          <c:dLbls>
            <c:dLbl>
              <c:idx val="0"/>
              <c:tx>
                <c:rich>
                  <a:bodyPr/>
                  <a:lstStyle/>
                  <a:p>
                    <a:fld id="{9F61BC31-5347-4DE2-8124-6D785983A6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A53-4CC9-BC04-CCB30645214F}"/>
                </c:ext>
              </c:extLst>
            </c:dLbl>
            <c:dLbl>
              <c:idx val="1"/>
              <c:tx>
                <c:rich>
                  <a:bodyPr/>
                  <a:lstStyle/>
                  <a:p>
                    <a:fld id="{65B1A07E-8A2F-4715-B0EB-52177B8854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A53-4CC9-BC04-CCB30645214F}"/>
                </c:ext>
              </c:extLst>
            </c:dLbl>
            <c:dLbl>
              <c:idx val="2"/>
              <c:tx>
                <c:rich>
                  <a:bodyPr/>
                  <a:lstStyle/>
                  <a:p>
                    <a:fld id="{3CFE1D37-FC45-4E03-B295-FC224B7713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A53-4CC9-BC04-CCB30645214F}"/>
                </c:ext>
              </c:extLst>
            </c:dLbl>
            <c:dLbl>
              <c:idx val="3"/>
              <c:tx>
                <c:rich>
                  <a:bodyPr/>
                  <a:lstStyle/>
                  <a:p>
                    <a:fld id="{61931BD2-A21D-469E-B852-CC7F93A22C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A53-4CC9-BC04-CCB30645214F}"/>
                </c:ext>
              </c:extLst>
            </c:dLbl>
            <c:dLbl>
              <c:idx val="4"/>
              <c:layout>
                <c:manualLayout>
                  <c:x val="-2.9330887399069703E-3"/>
                  <c:y val="3.2323232323232323E-2"/>
                </c:manualLayout>
              </c:layout>
              <c:tx>
                <c:rich>
                  <a:bodyPr/>
                  <a:lstStyle/>
                  <a:p>
                    <a:fld id="{475178E0-67B2-4BF3-BE83-39DDB713E5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6A53-4CC9-BC04-CCB30645214F}"/>
                </c:ext>
              </c:extLst>
            </c:dLbl>
            <c:dLbl>
              <c:idx val="5"/>
              <c:layout>
                <c:manualLayout>
                  <c:x val="-3.2263976138976622E-2"/>
                  <c:y val="2.2222222222222223E-2"/>
                </c:manualLayout>
              </c:layout>
              <c:tx>
                <c:rich>
                  <a:bodyPr/>
                  <a:lstStyle/>
                  <a:p>
                    <a:fld id="{401C4837-BFC0-463D-9D59-AD18B87167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6A53-4CC9-BC04-CCB30645214F}"/>
                </c:ext>
              </c:extLst>
            </c:dLbl>
            <c:dLbl>
              <c:idx val="6"/>
              <c:tx>
                <c:rich>
                  <a:bodyPr/>
                  <a:lstStyle/>
                  <a:p>
                    <a:fld id="{DB27B005-80A2-453D-B6B0-2A9B25E72E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A53-4CC9-BC04-CCB30645214F}"/>
                </c:ext>
              </c:extLst>
            </c:dLbl>
            <c:dLbl>
              <c:idx val="7"/>
              <c:layout>
                <c:manualLayout>
                  <c:x val="-2.9330887399069756E-2"/>
                  <c:y val="2.8282828282828135E-2"/>
                </c:manualLayout>
              </c:layout>
              <c:tx>
                <c:rich>
                  <a:bodyPr/>
                  <a:lstStyle/>
                  <a:p>
                    <a:fld id="{B8E336AE-905F-4A1A-87AA-91F721ED3C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6A53-4CC9-BC04-CCB306452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'May 2023 Data'!$L$21:$L$28</c:f>
              <c:numCache>
                <c:formatCode>General</c:formatCode>
                <c:ptCount val="8"/>
                <c:pt idx="0">
                  <c:v>135</c:v>
                </c:pt>
                <c:pt idx="1">
                  <c:v>185</c:v>
                </c:pt>
                <c:pt idx="2">
                  <c:v>179</c:v>
                </c:pt>
                <c:pt idx="3">
                  <c:v>183</c:v>
                </c:pt>
                <c:pt idx="4">
                  <c:v>174</c:v>
                </c:pt>
                <c:pt idx="5">
                  <c:v>149</c:v>
                </c:pt>
                <c:pt idx="6">
                  <c:v>142</c:v>
                </c:pt>
                <c:pt idx="7">
                  <c:v>158</c:v>
                </c:pt>
              </c:numCache>
            </c:numRef>
          </c:xVal>
          <c:yVal>
            <c:numRef>
              <c:f>'May 2023 Data'!$K$21:$K$28</c:f>
              <c:numCache>
                <c:formatCode>General</c:formatCode>
                <c:ptCount val="8"/>
                <c:pt idx="0">
                  <c:v>177</c:v>
                </c:pt>
                <c:pt idx="1">
                  <c:v>204</c:v>
                </c:pt>
                <c:pt idx="2">
                  <c:v>190</c:v>
                </c:pt>
                <c:pt idx="3">
                  <c:v>188</c:v>
                </c:pt>
                <c:pt idx="4">
                  <c:v>189</c:v>
                </c:pt>
                <c:pt idx="5">
                  <c:v>184</c:v>
                </c:pt>
                <c:pt idx="6">
                  <c:v>182</c:v>
                </c:pt>
                <c:pt idx="7">
                  <c:v>184</c:v>
                </c:pt>
              </c:numCache>
            </c:numRef>
          </c:yVal>
          <c:smooth val="0"/>
          <c:extLst>
            <c:ext xmlns:c15="http://schemas.microsoft.com/office/drawing/2012/chart" uri="{02D57815-91ED-43cb-92C2-25804820EDAC}">
              <c15:datalabelsRange>
                <c15:f>'May 2023 Data'!$A$13:$A$20</c15:f>
                <c15:dlblRangeCache>
                  <c:ptCount val="8"/>
                  <c:pt idx="0">
                    <c:v>Nishikigi</c:v>
                  </c:pt>
                  <c:pt idx="1">
                    <c:v>Shodai</c:v>
                  </c:pt>
                  <c:pt idx="2">
                    <c:v>Mitakeumi</c:v>
                  </c:pt>
                  <c:pt idx="3">
                    <c:v>Midorifuji</c:v>
                  </c:pt>
                  <c:pt idx="4">
                    <c:v>Meisei</c:v>
                  </c:pt>
                  <c:pt idx="5">
                    <c:v>Ura</c:v>
                  </c:pt>
                  <c:pt idx="6">
                    <c:v>Asanoyama</c:v>
                  </c:pt>
                  <c:pt idx="7">
                    <c:v>Onosho</c:v>
                  </c:pt>
                </c15:dlblRangeCache>
              </c15:datalabelsRange>
            </c:ext>
            <c:ext xmlns:c16="http://schemas.microsoft.com/office/drawing/2014/chart" uri="{C3380CC4-5D6E-409C-BE32-E72D297353CC}">
              <c16:uniqueId val="{0000001E-6A53-4CC9-BC04-CCB30645214F}"/>
            </c:ext>
          </c:extLst>
        </c:ser>
        <c:ser>
          <c:idx val="6"/>
          <c:order val="6"/>
          <c:tx>
            <c:v>M09-12</c:v>
          </c:tx>
          <c:spPr>
            <a:ln w="25400" cap="rnd">
              <a:noFill/>
              <a:round/>
            </a:ln>
            <a:effectLst/>
          </c:spPr>
          <c:marker>
            <c:symbol val="circle"/>
            <c:size val="6"/>
            <c:spPr>
              <a:solidFill>
                <a:schemeClr val="accent3">
                  <a:alpha val="57000"/>
                </a:schemeClr>
              </a:solidFill>
              <a:ln w="9525">
                <a:solidFill>
                  <a:schemeClr val="bg2">
                    <a:lumMod val="75000"/>
                  </a:schemeClr>
                </a:solidFill>
              </a:ln>
              <a:effectLst/>
            </c:spPr>
          </c:marker>
          <c:dLbls>
            <c:dLbl>
              <c:idx val="0"/>
              <c:tx>
                <c:rich>
                  <a:bodyPr/>
                  <a:lstStyle/>
                  <a:p>
                    <a:fld id="{CDC3697F-E444-43F6-8357-4A45EC132D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A53-4CC9-BC04-CCB30645214F}"/>
                </c:ext>
              </c:extLst>
            </c:dLbl>
            <c:dLbl>
              <c:idx val="1"/>
              <c:tx>
                <c:rich>
                  <a:bodyPr/>
                  <a:lstStyle/>
                  <a:p>
                    <a:fld id="{C2AEB613-DF6A-4EEE-8B5B-74B300A89D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A53-4CC9-BC04-CCB30645214F}"/>
                </c:ext>
              </c:extLst>
            </c:dLbl>
            <c:dLbl>
              <c:idx val="2"/>
              <c:tx>
                <c:rich>
                  <a:bodyPr/>
                  <a:lstStyle/>
                  <a:p>
                    <a:fld id="{AB0D91E3-B70B-4A82-8AFB-AAB48519CD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A53-4CC9-BC04-CCB30645214F}"/>
                </c:ext>
              </c:extLst>
            </c:dLbl>
            <c:dLbl>
              <c:idx val="3"/>
              <c:tx>
                <c:rich>
                  <a:bodyPr/>
                  <a:lstStyle/>
                  <a:p>
                    <a:fld id="{67FBC12B-89F7-49FA-AD6A-67E3A4B46D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A53-4CC9-BC04-CCB30645214F}"/>
                </c:ext>
              </c:extLst>
            </c:dLbl>
            <c:dLbl>
              <c:idx val="4"/>
              <c:layout>
                <c:manualLayout>
                  <c:x val="-1.4665443699534852E-2"/>
                  <c:y val="-3.6363636363636292E-2"/>
                </c:manualLayout>
              </c:layout>
              <c:tx>
                <c:rich>
                  <a:bodyPr/>
                  <a:lstStyle/>
                  <a:p>
                    <a:fld id="{5E2E5ACE-6F57-47A3-8EAA-B26B19768C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6A53-4CC9-BC04-CCB30645214F}"/>
                </c:ext>
              </c:extLst>
            </c:dLbl>
            <c:dLbl>
              <c:idx val="5"/>
              <c:tx>
                <c:rich>
                  <a:bodyPr/>
                  <a:lstStyle/>
                  <a:p>
                    <a:fld id="{F7C95E65-8A46-401F-BD68-40BE14A271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A53-4CC9-BC04-CCB30645214F}"/>
                </c:ext>
              </c:extLst>
            </c:dLbl>
            <c:dLbl>
              <c:idx val="6"/>
              <c:tx>
                <c:rich>
                  <a:bodyPr/>
                  <a:lstStyle/>
                  <a:p>
                    <a:fld id="{ADC7DDE5-5F6F-466D-B2BD-AEBA6F4211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6A53-4CC9-BC04-CCB30645214F}"/>
                </c:ext>
              </c:extLst>
            </c:dLbl>
            <c:dLbl>
              <c:idx val="7"/>
              <c:tx>
                <c:rich>
                  <a:bodyPr/>
                  <a:lstStyle/>
                  <a:p>
                    <a:fld id="{927698EB-31A0-4CCB-AF86-BD4685F97D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6A53-4CC9-BC04-CCB306452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'May 2023 Data'!$L$29:$L$36</c:f>
              <c:numCache>
                <c:formatCode>General</c:formatCode>
                <c:ptCount val="8"/>
                <c:pt idx="0">
                  <c:v>170</c:v>
                </c:pt>
                <c:pt idx="1">
                  <c:v>181</c:v>
                </c:pt>
                <c:pt idx="2">
                  <c:v>156</c:v>
                </c:pt>
                <c:pt idx="3">
                  <c:v>133</c:v>
                </c:pt>
                <c:pt idx="4">
                  <c:v>194</c:v>
                </c:pt>
                <c:pt idx="5">
                  <c:v>132</c:v>
                </c:pt>
                <c:pt idx="6">
                  <c:v>137</c:v>
                </c:pt>
                <c:pt idx="7">
                  <c:v>161</c:v>
                </c:pt>
              </c:numCache>
            </c:numRef>
          </c:xVal>
          <c:yVal>
            <c:numRef>
              <c:f>'May 2023 Data'!$K$29:$K$36</c:f>
              <c:numCache>
                <c:formatCode>General</c:formatCode>
                <c:ptCount val="8"/>
                <c:pt idx="0">
                  <c:v>183</c:v>
                </c:pt>
                <c:pt idx="1">
                  <c:v>192</c:v>
                </c:pt>
                <c:pt idx="2">
                  <c:v>188</c:v>
                </c:pt>
                <c:pt idx="3">
                  <c:v>176</c:v>
                </c:pt>
                <c:pt idx="4">
                  <c:v>185</c:v>
                </c:pt>
                <c:pt idx="5">
                  <c:v>182</c:v>
                </c:pt>
                <c:pt idx="6">
                  <c:v>184</c:v>
                </c:pt>
                <c:pt idx="7">
                  <c:v>191</c:v>
                </c:pt>
              </c:numCache>
            </c:numRef>
          </c:yVal>
          <c:smooth val="0"/>
          <c:extLst>
            <c:ext xmlns:c15="http://schemas.microsoft.com/office/drawing/2012/chart" uri="{02D57815-91ED-43cb-92C2-25804820EDAC}">
              <c15:datalabelsRange>
                <c15:f>'May 2023 Data'!$A$37:$A$45</c15:f>
                <c15:dlblRangeCache>
                  <c:ptCount val="9"/>
                  <c:pt idx="0">
                    <c:v>Gonoyama</c:v>
                  </c:pt>
                  <c:pt idx="1">
                    <c:v>Daishoho</c:v>
                  </c:pt>
                  <c:pt idx="2">
                    <c:v>Shonannoumi</c:v>
                  </c:pt>
                  <c:pt idx="3">
                    <c:v>Ryuden</c:v>
                  </c:pt>
                  <c:pt idx="4">
                    <c:v>Takarafuji</c:v>
                  </c:pt>
                  <c:pt idx="5">
                    <c:v>Endo</c:v>
                  </c:pt>
                  <c:pt idx="6">
                    <c:v>Bushozan</c:v>
                  </c:pt>
                  <c:pt idx="7">
                    <c:v>Aoiyama</c:v>
                  </c:pt>
                  <c:pt idx="8">
                    <c:v>Hakuoho</c:v>
                  </c:pt>
                </c15:dlblRangeCache>
              </c15:datalabelsRange>
            </c:ext>
            <c:ext xmlns:c16="http://schemas.microsoft.com/office/drawing/2014/chart" uri="{C3380CC4-5D6E-409C-BE32-E72D297353CC}">
              <c16:uniqueId val="{00000027-6A53-4CC9-BC04-CCB30645214F}"/>
            </c:ext>
          </c:extLst>
        </c:ser>
        <c:ser>
          <c:idx val="7"/>
          <c:order val="7"/>
          <c:tx>
            <c:v>M13-17</c:v>
          </c:tx>
          <c:spPr>
            <a:ln w="25400" cap="rnd">
              <a:noFill/>
              <a:round/>
            </a:ln>
            <a:effectLst/>
          </c:spPr>
          <c:marker>
            <c:symbol val="circle"/>
            <c:size val="6"/>
            <c:spPr>
              <a:solidFill>
                <a:schemeClr val="accent4">
                  <a:alpha val="48000"/>
                </a:schemeClr>
              </a:solidFill>
              <a:ln w="9525">
                <a:solidFill>
                  <a:schemeClr val="bg2">
                    <a:lumMod val="75000"/>
                  </a:schemeClr>
                </a:solidFill>
              </a:ln>
              <a:effectLst/>
            </c:spPr>
          </c:marke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A53-4CC9-BC04-CCB30645214F}"/>
                </c:ext>
              </c:extLst>
            </c:dLbl>
            <c:dLbl>
              <c:idx val="1"/>
              <c:tx>
                <c:rich>
                  <a:bodyPr/>
                  <a:lstStyle/>
                  <a:p>
                    <a:fld id="{E5A54AC2-F6BD-4784-98B4-7CBCD6B721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6A53-4CC9-BC04-CCB30645214F}"/>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A53-4CC9-BC04-CCB30645214F}"/>
                </c:ext>
              </c:extLst>
            </c:dLbl>
            <c:dLbl>
              <c:idx val="3"/>
              <c:layout>
                <c:manualLayout>
                  <c:x val="-4.252978672865107E-2"/>
                  <c:y val="-2.4242424242424242E-2"/>
                </c:manualLayout>
              </c:layout>
              <c:tx>
                <c:rich>
                  <a:bodyPr/>
                  <a:lstStyle/>
                  <a:p>
                    <a:fld id="{1FA9AAE6-C18D-411A-90EF-BDEA5A9F32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6A53-4CC9-BC04-CCB30645214F}"/>
                </c:ext>
              </c:extLst>
            </c:dLbl>
            <c:dLbl>
              <c:idx val="4"/>
              <c:tx>
                <c:rich>
                  <a:bodyPr/>
                  <a:lstStyle/>
                  <a:p>
                    <a:fld id="{04898455-3E5D-4413-993D-0BD789D830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6A53-4CC9-BC04-CCB30645214F}"/>
                </c:ext>
              </c:extLst>
            </c:dLbl>
            <c:dLbl>
              <c:idx val="5"/>
              <c:tx>
                <c:rich>
                  <a:bodyPr/>
                  <a:lstStyle/>
                  <a:p>
                    <a:fld id="{65258BA8-E33D-49FE-9CE3-4BA591C939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6A53-4CC9-BC04-CCB30645214F}"/>
                </c:ext>
              </c:extLst>
            </c:dLbl>
            <c:dLbl>
              <c:idx val="6"/>
              <c:tx>
                <c:rich>
                  <a:bodyPr/>
                  <a:lstStyle/>
                  <a:p>
                    <a:fld id="{FE90273A-1D89-4A85-9B2A-3E04BD5B27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6A53-4CC9-BC04-CCB30645214F}"/>
                </c:ext>
              </c:extLst>
            </c:dLbl>
            <c:dLbl>
              <c:idx val="7"/>
              <c:tx>
                <c:rich>
                  <a:bodyPr/>
                  <a:lstStyle/>
                  <a:p>
                    <a:fld id="{CCA6B0F6-756B-4361-B80B-26E0439BA9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6A53-4CC9-BC04-CCB30645214F}"/>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A53-4CC9-BC04-CCB306452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'May 2023 Data'!$L$37:$L$45</c:f>
              <c:numCache>
                <c:formatCode>General</c:formatCode>
                <c:ptCount val="9"/>
                <c:pt idx="1">
                  <c:v>196</c:v>
                </c:pt>
                <c:pt idx="3">
                  <c:v>155</c:v>
                </c:pt>
                <c:pt idx="4">
                  <c:v>171</c:v>
                </c:pt>
                <c:pt idx="5">
                  <c:v>150</c:v>
                </c:pt>
                <c:pt idx="6">
                  <c:v>171</c:v>
                </c:pt>
                <c:pt idx="7">
                  <c:v>186</c:v>
                </c:pt>
              </c:numCache>
            </c:numRef>
          </c:xVal>
          <c:yVal>
            <c:numRef>
              <c:f>'May 2023 Data'!$K$37:$K$45</c:f>
              <c:numCache>
                <c:formatCode>General</c:formatCode>
                <c:ptCount val="9"/>
                <c:pt idx="1">
                  <c:v>185</c:v>
                </c:pt>
                <c:pt idx="3">
                  <c:v>188</c:v>
                </c:pt>
                <c:pt idx="4">
                  <c:v>186</c:v>
                </c:pt>
                <c:pt idx="5">
                  <c:v>184</c:v>
                </c:pt>
                <c:pt idx="6">
                  <c:v>171</c:v>
                </c:pt>
                <c:pt idx="7">
                  <c:v>191</c:v>
                </c:pt>
              </c:numCache>
            </c:numRef>
          </c:yVal>
          <c:smooth val="0"/>
          <c:extLst>
            <c:ext xmlns:c15="http://schemas.microsoft.com/office/drawing/2012/chart" uri="{02D57815-91ED-43cb-92C2-25804820EDAC}">
              <c15:datalabelsRange>
                <c15:f>'May 2023 Data'!$A$29:$A$36</c15:f>
                <c15:dlblRangeCache>
                  <c:ptCount val="8"/>
                  <c:pt idx="0">
                    <c:v>Takanosho</c:v>
                  </c:pt>
                  <c:pt idx="1">
                    <c:v>Kinbozan</c:v>
                  </c:pt>
                  <c:pt idx="2">
                    <c:v>Myogiryu</c:v>
                  </c:pt>
                  <c:pt idx="3">
                    <c:v>Kotoeko</c:v>
                  </c:pt>
                  <c:pt idx="4">
                    <c:v>Tsurugisho</c:v>
                  </c:pt>
                  <c:pt idx="5">
                    <c:v>Wakatakakage</c:v>
                  </c:pt>
                  <c:pt idx="6">
                    <c:v>Chiyoshoma</c:v>
                  </c:pt>
                  <c:pt idx="7">
                    <c:v>Kotoshoho</c:v>
                  </c:pt>
                </c15:dlblRangeCache>
              </c15:datalabelsRange>
            </c:ext>
            <c:ext xmlns:c16="http://schemas.microsoft.com/office/drawing/2014/chart" uri="{C3380CC4-5D6E-409C-BE32-E72D297353CC}">
              <c16:uniqueId val="{00000031-6A53-4CC9-BC04-CCB30645214F}"/>
            </c:ext>
          </c:extLst>
        </c:ser>
        <c:dLbls>
          <c:showLegendKey val="0"/>
          <c:showVal val="0"/>
          <c:showCatName val="0"/>
          <c:showSerName val="0"/>
          <c:showPercent val="0"/>
          <c:showBubbleSize val="0"/>
        </c:dLbls>
        <c:axId val="745971600"/>
        <c:axId val="745971928"/>
      </c:scatterChart>
      <c:valAx>
        <c:axId val="745971600"/>
        <c:scaling>
          <c:orientation val="minMax"/>
          <c:max val="205"/>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in val="16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_xlchart.v1.0</cx:f>
      </cx:numDim>
    </cx:data>
  </cx:chartData>
  <cx:chart>
    <cx:title pos="t" align="ctr" overlay="0">
      <cx:tx>
        <cx:txData>
          <cx:v>BMI histogram for November 2022 Makuuchi wrestlers</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BMI histogram for November 2022 Makuuchi wrestlers</a:t>
          </a:r>
        </a:p>
      </cx:txPr>
    </cx:title>
    <cx:plotArea>
      <cx:plotAreaRegion>
        <cx:series layoutId="clusteredColumn" uniqueId="{D5E39805-BBFC-46AF-B444-6C874E1021C3}">
          <cx:tx>
            <cx:txData>
              <cx:f/>
              <cx:v>BMI Nov 2022</cx:v>
            </cx:txData>
          </cx:tx>
          <cx:spPr>
            <a:solidFill>
              <a:schemeClr val="accent3"/>
            </a:solidFill>
          </cx:spPr>
          <cx:dataId val="0"/>
          <cx:layoutPr>
            <cx:binning intervalClosed="r">
              <cx:binCount val="7"/>
            </cx:binning>
          </cx:layoutPr>
        </cx:series>
      </cx:plotAreaRegion>
      <cx:axis id="0">
        <cx:catScaling gapWidth="0"/>
        <cx:tickLabels/>
      </cx:axis>
      <cx:axis id="1">
        <cx:valScaling/>
        <cx:majorGridlines/>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16.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E42FEC0-3E2D-4A29-BF38-A8200563758D}">
  <sheetPr codeName="Chart2"/>
  <sheetViews>
    <sheetView zoomScale="89" workbookViewId="0" zoomToFit="1"/>
  </sheetViews>
  <pageMargins left="0.7" right="0.7" top="0.75" bottom="0.75" header="0.3" footer="0.3"/>
  <drawing r:id="rId1"/>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16E0341-649D-40C2-90A4-9EFFB96E8097}">
  <sheetPr/>
  <sheetViews>
    <sheetView zoomScale="160" workbookViewId="0"/>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DCA6877-AD0C-4A78-ADCB-76ED264E17AA}">
  <sheetPr/>
  <sheetViews>
    <sheetView workbookViewId="0" zoomToFit="1"/>
  </sheetViews>
  <pageMargins left="0.7" right="0.7" top="0.75" bottom="0.75" header="0.3" footer="0.3"/>
  <drawing r:id="rId1"/>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F6EA9C6-5B87-4900-BEC9-4BF0E7B6E093}">
  <sheetPr/>
  <sheetViews>
    <sheetView workbookViewId="0" zoomToFit="1"/>
  </sheetViews>
  <pageMargins left="0.7" right="0.7" top="0.75" bottom="0.75" header="0.3" footer="0.3"/>
  <drawing r:id="rId1"/>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CA0938D-51B9-4561-8226-C1DF169906FE}">
  <sheetPr/>
  <sheetViews>
    <sheetView tabSelected="1" zoomScale="160" workbookViewId="0"/>
  </sheetViews>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CB94BF2-1DD1-4DA9-A058-750E1E920474}">
  <sheetPr/>
  <sheetViews>
    <sheetView zoomScale="160" workbookViewId="0"/>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3791052-9909-4553-9940-952302C699F8}">
  <sheetPr codeName="Chart4"/>
  <sheetViews>
    <sheetView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1B654C2-32DF-4F77-9C25-3E164D5340C2}">
  <sheetPr/>
  <sheetViews>
    <sheetView zoomScale="256"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95E9E0-4212-4868-B47E-DD306169A284}">
  <sheetPr/>
  <sheetViews>
    <sheetView zoomScale="160" workbookViewId="0"/>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BD928AD-D73F-45DE-991C-8FC90B47CE90}">
  <sheetPr/>
  <sheetViews>
    <sheetView zoomScale="160" workbookViewId="0"/>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F02AC23-5909-466A-8907-5EEA43C07256}">
  <sheetPr/>
  <sheetViews>
    <sheetView zoomScale="160" workbookViewId="0"/>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5EEBFAF-6685-4F3B-847F-7BD19369A0CD}">
  <sheetPr/>
  <sheetViews>
    <sheetView zoomScale="114"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7A3264C-9058-4280-A1CD-207014CC0443}">
  <sheetPr/>
  <sheetViews>
    <sheetView zoomScale="85" workbookViewId="0"/>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5D75502-0363-4757-B294-9A2D7B3EFB5E}">
  <sheetPr/>
  <sheetViews>
    <sheetView zoomScale="160"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microsoft.com/office/2014/relationships/chartEx" Target="../charts/chartEx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absoluteAnchor>
    <xdr:pos x="0" y="0"/>
    <xdr:ext cx="8656972" cy="6285917"/>
    <xdr:graphicFrame macro="">
      <xdr:nvGraphicFramePr>
        <xdr:cNvPr id="2" name="Chart 1">
          <a:extLst>
            <a:ext uri="{FF2B5EF4-FFF2-40B4-BE49-F238E27FC236}">
              <a16:creationId xmlns:a16="http://schemas.microsoft.com/office/drawing/2014/main" id="{E02F1B1A-3750-48D1-AB4F-E80B7DBF50B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31</xdr:col>
      <xdr:colOff>517493</xdr:colOff>
      <xdr:row>86</xdr:row>
      <xdr:rowOff>180974</xdr:rowOff>
    </xdr:to>
    <xdr:pic>
      <xdr:nvPicPr>
        <xdr:cNvPr id="2" name="Picture 1">
          <a:extLst>
            <a:ext uri="{FF2B5EF4-FFF2-40B4-BE49-F238E27FC236}">
              <a16:creationId xmlns:a16="http://schemas.microsoft.com/office/drawing/2014/main" id="{D0001326-3FCB-4489-83CB-2AFA428FFB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596193" cy="1574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absoluteAnchor>
    <xdr:pos x="0" y="0"/>
    <xdr:ext cx="8659813" cy="6286500"/>
    <xdr:graphicFrame macro="">
      <xdr:nvGraphicFramePr>
        <xdr:cNvPr id="2" name="Chart 1">
          <a:extLst>
            <a:ext uri="{FF2B5EF4-FFF2-40B4-BE49-F238E27FC236}">
              <a16:creationId xmlns:a16="http://schemas.microsoft.com/office/drawing/2014/main" id="{6F66203E-4669-C2E9-691C-750CDDBE1C1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8659813" cy="6286500"/>
    <xdr:graphicFrame macro="">
      <xdr:nvGraphicFramePr>
        <xdr:cNvPr id="2" name="Chart 1">
          <a:extLst>
            <a:ext uri="{FF2B5EF4-FFF2-40B4-BE49-F238E27FC236}">
              <a16:creationId xmlns:a16="http://schemas.microsoft.com/office/drawing/2014/main" id="{14EAFF55-565C-5EB2-AA57-81AA947792E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8667750" cy="6273800"/>
    <xdr:graphicFrame macro="">
      <xdr:nvGraphicFramePr>
        <xdr:cNvPr id="2" name="Chart 1">
          <a:extLst>
            <a:ext uri="{FF2B5EF4-FFF2-40B4-BE49-F238E27FC236}">
              <a16:creationId xmlns:a16="http://schemas.microsoft.com/office/drawing/2014/main" id="{479E598B-C258-0B77-BECD-D23E7651905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8667750" cy="6273800"/>
    <xdr:graphicFrame macro="">
      <xdr:nvGraphicFramePr>
        <xdr:cNvPr id="2" name="Chart 1">
          <a:extLst>
            <a:ext uri="{FF2B5EF4-FFF2-40B4-BE49-F238E27FC236}">
              <a16:creationId xmlns:a16="http://schemas.microsoft.com/office/drawing/2014/main" id="{3E31E1EE-CC88-ACF5-DEB2-420D27DE572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8659813" cy="6270625"/>
    <xdr:graphicFrame macro="">
      <xdr:nvGraphicFramePr>
        <xdr:cNvPr id="2" name="Chart 1">
          <a:extLst>
            <a:ext uri="{FF2B5EF4-FFF2-40B4-BE49-F238E27FC236}">
              <a16:creationId xmlns:a16="http://schemas.microsoft.com/office/drawing/2014/main" id="{47DE1FBF-B01A-14E2-9806-CF40AF26BA1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0" y="0"/>
    <xdr:ext cx="8659813" cy="6270625"/>
    <xdr:graphicFrame macro="">
      <xdr:nvGraphicFramePr>
        <xdr:cNvPr id="2" name="Chart 1">
          <a:extLst>
            <a:ext uri="{FF2B5EF4-FFF2-40B4-BE49-F238E27FC236}">
              <a16:creationId xmlns:a16="http://schemas.microsoft.com/office/drawing/2014/main" id="{CBC5E82F-84E9-807F-15F4-A6DA19E3542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oneCellAnchor>
    <xdr:from>
      <xdr:col>0</xdr:col>
      <xdr:colOff>0</xdr:colOff>
      <xdr:row>15</xdr:row>
      <xdr:rowOff>0</xdr:rowOff>
    </xdr:from>
    <xdr:ext cx="5580990" cy="3619024"/>
    <xdr:pic>
      <xdr:nvPicPr>
        <xdr:cNvPr id="2" name="Picture 1">
          <a:extLst>
            <a:ext uri="{FF2B5EF4-FFF2-40B4-BE49-F238E27FC236}">
              <a16:creationId xmlns:a16="http://schemas.microsoft.com/office/drawing/2014/main" id="{8C7AE8E5-D180-4DE5-8DCF-2FA01081E381}"/>
            </a:ext>
          </a:extLst>
        </xdr:cNvPr>
        <xdr:cNvPicPr>
          <a:picLocks noChangeAspect="1"/>
        </xdr:cNvPicPr>
      </xdr:nvPicPr>
      <xdr:blipFill>
        <a:blip xmlns:r="http://schemas.openxmlformats.org/officeDocument/2006/relationships" r:embed="rId1"/>
        <a:stretch>
          <a:fillRect/>
        </a:stretch>
      </xdr:blipFill>
      <xdr:spPr>
        <a:xfrm>
          <a:off x="0" y="1085850"/>
          <a:ext cx="5580990" cy="3619024"/>
        </a:xfrm>
        <a:prstGeom prst="rect">
          <a:avLst/>
        </a:prstGeom>
      </xdr:spPr>
    </xdr:pic>
    <xdr:clientData/>
  </xdr:oneCellAnchor>
  <xdr:twoCellAnchor editAs="oneCell">
    <xdr:from>
      <xdr:col>0</xdr:col>
      <xdr:colOff>304800</xdr:colOff>
      <xdr:row>40</xdr:row>
      <xdr:rowOff>127000</xdr:rowOff>
    </xdr:from>
    <xdr:to>
      <xdr:col>4</xdr:col>
      <xdr:colOff>2708275</xdr:colOff>
      <xdr:row>134</xdr:row>
      <xdr:rowOff>171450</xdr:rowOff>
    </xdr:to>
    <xdr:pic>
      <xdr:nvPicPr>
        <xdr:cNvPr id="3" name="Picture 2">
          <a:extLst>
            <a:ext uri="{FF2B5EF4-FFF2-40B4-BE49-F238E27FC236}">
              <a16:creationId xmlns:a16="http://schemas.microsoft.com/office/drawing/2014/main" id="{72607EB6-FF1D-3759-19E3-4B1400A391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7759700"/>
          <a:ext cx="8677275" cy="17354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661400" cy="6273800"/>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23F8C355-9F3E-493E-B480-49E2B165D8E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graphicFrame macro="">
          <xdr:nvGraphicFramePr>
            <xdr:cNvPr id="0" nam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mc:Fallback>
    </mc:AlternateContent>
    <xdr:clientData/>
  </xdr:absoluteAnchor>
</xdr:wsDr>
</file>

<file path=xl/drawings/drawing3.xml><?xml version="1.0" encoding="utf-8"?>
<c:userShapes xmlns:c="http://schemas.openxmlformats.org/drawingml/2006/chart">
  <cdr:relSizeAnchor xmlns:cdr="http://schemas.openxmlformats.org/drawingml/2006/chartDrawing">
    <cdr:from>
      <cdr:x>0</cdr:x>
      <cdr:y>0</cdr:y>
    </cdr:from>
    <cdr:to>
      <cdr:x>1</cdr:x>
      <cdr:y>1</cdr:y>
    </cdr:to>
    <cdr:sp macro="" textlink="">
      <cdr:nvSpPr>
        <cdr:cNvPr id="2" name="Rectangle 1">
          <a:extLst xmlns:a="http://schemas.openxmlformats.org/drawingml/2006/main">
            <a:ext uri="{FF2B5EF4-FFF2-40B4-BE49-F238E27FC236}">
              <a16:creationId xmlns:a16="http://schemas.microsoft.com/office/drawing/2014/main" id="{FB8017B4-C5C5-AC19-2940-ABBDBE587B21}"/>
            </a:ext>
          </a:extLst>
        </cdr:cNvPr>
        <cdr:cNvSpPr>
          <a:spLocks xmlns:a="http://schemas.openxmlformats.org/drawingml/2006/main" noTextEdit="1"/>
        </cdr:cNvSpPr>
      </cdr:nvSpPr>
      <cdr:spPr>
        <a:xfrm xmlns:a="http://schemas.openxmlformats.org/drawingml/2006/main">
          <a:off x="0" y="0"/>
          <a:ext cx="8661400" cy="6273800"/>
        </a:xfrm>
        <a:prstGeom xmlns:a="http://schemas.openxmlformats.org/drawingml/2006/main" prst="rect">
          <a:avLst/>
        </a:prstGeom>
        <a:solidFill xmlns:a="http://schemas.openxmlformats.org/drawingml/2006/main">
          <a:prstClr val="white"/>
        </a:solidFill>
        <a:ln xmlns:a="http://schemas.openxmlformats.org/drawingml/2006/main" w="1">
          <a:solidFill>
            <a:prstClr val="green"/>
          </a:solidFill>
        </a:ln>
      </cdr:spPr>
      <cdr:txBody>
        <a:bodyPr xmlns:a="http://schemas.openxmlformats.org/drawingml/2006/main" vertOverflow="clip" horzOverflow="clip"/>
        <a:lstStyle xmlns:a="http://schemas.openxmlformats.org/drawingml/2006/main"/>
        <a:p xmlns:a="http://schemas.openxmlformats.org/drawingml/2006/main">
          <a:r>
            <a:rPr lang="en-US" sz="1100"/>
            <a:t>This chart isn't available in your version of Excel.
Editing this shape or saving this workbook into a different file format will permanently break the chart.</a:t>
          </a:r>
        </a:p>
      </cdr:txBody>
    </cdr:sp>
  </cdr:relSizeAnchor>
</c:userShapes>
</file>

<file path=xl/drawings/drawing4.xml><?xml version="1.0" encoding="utf-8"?>
<xdr:wsDr xmlns:xdr="http://schemas.openxmlformats.org/drawingml/2006/spreadsheetDrawing" xmlns:a="http://schemas.openxmlformats.org/drawingml/2006/main">
  <xdr:absoluteAnchor>
    <xdr:pos x="0" y="0"/>
    <xdr:ext cx="8664277" cy="6287988"/>
    <xdr:graphicFrame macro="">
      <xdr:nvGraphicFramePr>
        <xdr:cNvPr id="2" name="Chart 1">
          <a:extLst>
            <a:ext uri="{FF2B5EF4-FFF2-40B4-BE49-F238E27FC236}">
              <a16:creationId xmlns:a16="http://schemas.microsoft.com/office/drawing/2014/main" id="{35DC3183-B213-D4F6-BA21-57A94376297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59813" cy="6270625"/>
    <xdr:graphicFrame macro="">
      <xdr:nvGraphicFramePr>
        <xdr:cNvPr id="2" name="Chart 1">
          <a:extLst>
            <a:ext uri="{FF2B5EF4-FFF2-40B4-BE49-F238E27FC236}">
              <a16:creationId xmlns:a16="http://schemas.microsoft.com/office/drawing/2014/main" id="{0FDE4DD9-93E9-AC6B-520C-92191E3BAA6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64277" cy="6287988"/>
    <xdr:graphicFrame macro="">
      <xdr:nvGraphicFramePr>
        <xdr:cNvPr id="2" name="Chart 1">
          <a:extLst>
            <a:ext uri="{FF2B5EF4-FFF2-40B4-BE49-F238E27FC236}">
              <a16:creationId xmlns:a16="http://schemas.microsoft.com/office/drawing/2014/main" id="{353E1DF6-78C7-8C55-70F7-4B8A36BBCE7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59813" cy="6286500"/>
    <xdr:graphicFrame macro="">
      <xdr:nvGraphicFramePr>
        <xdr:cNvPr id="2" name="Chart 1">
          <a:extLst>
            <a:ext uri="{FF2B5EF4-FFF2-40B4-BE49-F238E27FC236}">
              <a16:creationId xmlns:a16="http://schemas.microsoft.com/office/drawing/2014/main" id="{E9B09C3F-DFBD-931C-10F7-AFDE98BA4CF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64408" cy="6291513"/>
    <xdr:graphicFrame macro="">
      <xdr:nvGraphicFramePr>
        <xdr:cNvPr id="2" name="Chart 1">
          <a:extLst>
            <a:ext uri="{FF2B5EF4-FFF2-40B4-BE49-F238E27FC236}">
              <a16:creationId xmlns:a16="http://schemas.microsoft.com/office/drawing/2014/main" id="{4E63EC65-EF68-A89E-7B73-4D6B6DE9A17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59813" cy="6286500"/>
    <xdr:graphicFrame macro="">
      <xdr:nvGraphicFramePr>
        <xdr:cNvPr id="2" name="Chart 1">
          <a:extLst>
            <a:ext uri="{FF2B5EF4-FFF2-40B4-BE49-F238E27FC236}">
              <a16:creationId xmlns:a16="http://schemas.microsoft.com/office/drawing/2014/main" id="{F8589C4C-F353-0312-184B-E79662E069B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2MPCL\AppData\Roaming\Microsoft\AddIns\XRealStats.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fig"/>
      <sheetName val="Wilcoxon Table"/>
      <sheetName val="Mann Table"/>
      <sheetName val="Runs Table"/>
      <sheetName val="KS Table"/>
      <sheetName val="KS2 Table"/>
      <sheetName val="Lil Table"/>
      <sheetName val="AD Table"/>
      <sheetName val="AD2 Table"/>
      <sheetName val="SW Table"/>
      <sheetName val="Stud. Q Table"/>
      <sheetName val="Stud. Q Table 2"/>
      <sheetName val="Sp Rho Table"/>
      <sheetName val="Ken Tau Table"/>
      <sheetName val="Durbin Table"/>
      <sheetName val="Dunnett Table"/>
      <sheetName val="Dunnett 1"/>
      <sheetName val="Prime"/>
      <sheetName val="MSSD"/>
      <sheetName val="XRealStats"/>
    </sheetNames>
    <definedNames>
      <definedName name="CLUST_Converge"/>
      <definedName name="ClustAnal"/>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theme/theme1.xml><?xml version="1.0" encoding="utf-8"?>
<a:theme xmlns:a="http://schemas.openxmlformats.org/drawingml/2006/main" name="Hokusai3 Theme">
  <a:themeElements>
    <a:clrScheme name="Hokusai3 Palette">
      <a:dk1>
        <a:sysClr val="windowText" lastClr="000000"/>
      </a:dk1>
      <a:lt1>
        <a:sysClr val="window" lastClr="FFFFFF"/>
      </a:lt1>
      <a:dk2>
        <a:srgbClr val="44546A"/>
      </a:dk2>
      <a:lt2>
        <a:srgbClr val="E7E6E6"/>
      </a:lt2>
      <a:accent1>
        <a:srgbClr val="D9DA68"/>
      </a:accent1>
      <a:accent2>
        <a:srgbClr val="85C661"/>
      </a:accent2>
      <a:accent3>
        <a:srgbClr val="4DCCC4"/>
      </a:accent3>
      <a:accent4>
        <a:srgbClr val="4497C6"/>
      </a:accent4>
      <a:accent5>
        <a:srgbClr val="125086"/>
      </a:accent5>
      <a:accent6>
        <a:srgbClr val="002B58"/>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sumo.or.jp/EnHonbashoBanzuke/index/" TargetMode="External"/><Relationship Id="rId1" Type="http://schemas.openxmlformats.org/officeDocument/2006/relationships/hyperlink" Target="https://www.sumo.or.jp/EnHonbashoBanzuke/index/"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sumo.or.jp/EnHonbashoBanzuke/index/" TargetMode="External"/><Relationship Id="rId1" Type="http://schemas.openxmlformats.org/officeDocument/2006/relationships/hyperlink" Target="https://www.sumo.or.jp/EnHonbashoBanzuke/index/"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sumo.or.jp/EnHonbashoBanzuke/index/" TargetMode="External"/><Relationship Id="rId1" Type="http://schemas.openxmlformats.org/officeDocument/2006/relationships/hyperlink" Target="https://www.sumo.or.jp/EnHonbashoBanzuke/index/" TargetMode="External"/></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17.xml"/><Relationship Id="rId3" Type="http://schemas.openxmlformats.org/officeDocument/2006/relationships/hyperlink" Target="https://www.sumo.or.jp/EnHonbashoBanzuke/index/" TargetMode="External"/><Relationship Id="rId7" Type="http://schemas.openxmlformats.org/officeDocument/2006/relationships/printerSettings" Target="../printerSettings/printerSettings11.bin"/><Relationship Id="rId2" Type="http://schemas.openxmlformats.org/officeDocument/2006/relationships/hyperlink" Target="https://www.sumo.or.jp/EnHonbashoBanzuke/index/" TargetMode="External"/><Relationship Id="rId1" Type="http://schemas.openxmlformats.org/officeDocument/2006/relationships/hyperlink" Target="https://twitter.com/SumoFollower/status/1518933651962138624" TargetMode="External"/><Relationship Id="rId6" Type="http://schemas.openxmlformats.org/officeDocument/2006/relationships/hyperlink" Target="https://www.sumo.or.jp/EnHonbashoBanzuke/index/" TargetMode="External"/><Relationship Id="rId5" Type="http://schemas.openxmlformats.org/officeDocument/2006/relationships/hyperlink" Target="https://www.sumo.or.jp/EnHonbashoBanzuke/index/" TargetMode="External"/><Relationship Id="rId4" Type="http://schemas.openxmlformats.org/officeDocument/2006/relationships/hyperlink" Target="https://www.sumo.or.jp/EnHonbashoBanzuke/index/"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sumo.or.jp/EnHonbashoBanzuke/index/"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sumo.or.jp/EnHonbashoBanzuke/inde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sumo.or.jp/EnHonbashoBanzuke/index/"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sumo.or.jp/EnHonbashoBanzuke/inde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7DD38-AD06-4250-9520-A2F29B57D9C0}">
  <dimension ref="A2:Q45"/>
  <sheetViews>
    <sheetView zoomScale="106" zoomScaleNormal="106" workbookViewId="0">
      <pane xSplit="1" ySplit="3" topLeftCell="B9" activePane="bottomRight" state="frozen"/>
      <selection pane="topRight" activeCell="B1" sqref="B1"/>
      <selection pane="bottomLeft" activeCell="A4" sqref="A4"/>
      <selection pane="bottomRight" activeCell="L13" sqref="L13"/>
    </sheetView>
  </sheetViews>
  <sheetFormatPr defaultRowHeight="14.5"/>
  <cols>
    <col min="1" max="4" width="21.1796875" customWidth="1"/>
    <col min="7" max="7" width="11.26953125" bestFit="1" customWidth="1"/>
    <col min="8" max="8" width="8.7265625" style="4"/>
  </cols>
  <sheetData>
    <row r="2" spans="1:17">
      <c r="C2" t="s">
        <v>134</v>
      </c>
    </row>
    <row r="3" spans="1:17">
      <c r="A3" t="s">
        <v>3</v>
      </c>
      <c r="B3" t="s">
        <v>11</v>
      </c>
      <c r="C3" t="s">
        <v>131</v>
      </c>
      <c r="D3" t="s">
        <v>156</v>
      </c>
      <c r="E3" t="s">
        <v>5</v>
      </c>
      <c r="F3" t="s">
        <v>4</v>
      </c>
      <c r="G3" t="s">
        <v>26</v>
      </c>
      <c r="H3" s="4" t="s">
        <v>6</v>
      </c>
      <c r="I3" t="s">
        <v>7</v>
      </c>
      <c r="J3" t="s">
        <v>8</v>
      </c>
      <c r="K3" t="s">
        <v>9</v>
      </c>
      <c r="L3" t="s">
        <v>10</v>
      </c>
      <c r="Q3" s="14"/>
    </row>
    <row r="4" spans="1:17">
      <c r="A4" s="1" t="s">
        <v>86</v>
      </c>
      <c r="B4" s="1">
        <v>7</v>
      </c>
      <c r="C4" s="1" t="s">
        <v>14</v>
      </c>
      <c r="D4" s="1">
        <f>_xlfn.XLOOKUP(C4,'rank lookup'!$A$1:$A$21,'rank lookup'!$B$1:$B$21,,0)</f>
        <v>1</v>
      </c>
      <c r="E4" s="19">
        <v>192</v>
      </c>
      <c r="F4" s="19">
        <v>181</v>
      </c>
      <c r="G4" s="5">
        <f t="shared" ref="G4:G45" si="0">F4/(E4*E4)*10000</f>
        <v>49.099392361111107</v>
      </c>
      <c r="H4" s="4">
        <f t="shared" ref="H4:H45" si="1">CONVERT(E4,"cm","in")</f>
        <v>75.59055118110237</v>
      </c>
      <c r="I4">
        <f t="shared" ref="I4:I45" si="2">_xlfn.FLOOR.MATH(H4/12)</f>
        <v>6</v>
      </c>
      <c r="J4">
        <f t="shared" ref="J4:J45" si="3">ROUND(H4-I4*12,1)</f>
        <v>3.6</v>
      </c>
      <c r="K4" t="str">
        <f t="shared" ref="K4:K45" si="4">I4&amp;"' "&amp;J4&amp;""""</f>
        <v>6' 3.6"</v>
      </c>
      <c r="L4">
        <f t="shared" ref="L4:L45" si="5">ROUND(CONVERT(F4,"kg","lbm"),0)</f>
        <v>399</v>
      </c>
    </row>
    <row r="5" spans="1:17">
      <c r="A5" s="1" t="s">
        <v>123</v>
      </c>
      <c r="B5" s="1">
        <v>2</v>
      </c>
      <c r="C5" s="1" t="s">
        <v>39</v>
      </c>
      <c r="D5" s="1">
        <f>_xlfn.XLOOKUP(C5,'rank lookup'!$A$1:$A$21,'rank lookup'!$B$1:$B$21,,0)</f>
        <v>2</v>
      </c>
      <c r="E5" s="19">
        <v>175</v>
      </c>
      <c r="F5" s="19">
        <v>163</v>
      </c>
      <c r="G5" s="5">
        <f t="shared" si="0"/>
        <v>53.224489795918366</v>
      </c>
      <c r="H5" s="4">
        <f t="shared" si="1"/>
        <v>68.897637795275585</v>
      </c>
      <c r="I5">
        <f t="shared" si="2"/>
        <v>5</v>
      </c>
      <c r="J5">
        <f t="shared" si="3"/>
        <v>8.9</v>
      </c>
      <c r="K5" t="str">
        <f t="shared" si="4"/>
        <v>5' 8.9"</v>
      </c>
      <c r="L5">
        <f t="shared" si="5"/>
        <v>359</v>
      </c>
      <c r="M5" s="14"/>
    </row>
    <row r="6" spans="1:17">
      <c r="A6" s="1" t="s">
        <v>116</v>
      </c>
      <c r="B6" s="1">
        <v>2</v>
      </c>
      <c r="C6" s="1" t="s">
        <v>39</v>
      </c>
      <c r="D6" s="1">
        <f>_xlfn.XLOOKUP(C6,'rank lookup'!$A$1:$A$21,'rank lookup'!$B$1:$B$21,,0)</f>
        <v>2</v>
      </c>
      <c r="E6" s="19">
        <v>179</v>
      </c>
      <c r="F6" s="19">
        <v>171</v>
      </c>
      <c r="G6" s="5">
        <f t="shared" si="0"/>
        <v>53.369120813957117</v>
      </c>
      <c r="H6" s="4">
        <f t="shared" si="1"/>
        <v>70.472440944881896</v>
      </c>
      <c r="I6">
        <f t="shared" si="2"/>
        <v>5</v>
      </c>
      <c r="J6">
        <f t="shared" si="3"/>
        <v>10.5</v>
      </c>
      <c r="K6" t="str">
        <f t="shared" si="4"/>
        <v>5' 10.5"</v>
      </c>
      <c r="L6">
        <f t="shared" si="5"/>
        <v>377</v>
      </c>
    </row>
    <row r="7" spans="1:17">
      <c r="A7" s="1" t="s">
        <v>109</v>
      </c>
      <c r="B7" s="1">
        <v>1</v>
      </c>
      <c r="C7" s="1" t="s">
        <v>39</v>
      </c>
      <c r="D7" s="1">
        <f>_xlfn.XLOOKUP(C7,'rank lookup'!$A$1:$A$21,'rank lookup'!$B$1:$B$21,,0)</f>
        <v>2</v>
      </c>
      <c r="E7" s="19">
        <v>183</v>
      </c>
      <c r="F7" s="19">
        <v>162</v>
      </c>
      <c r="G7" s="5">
        <f t="shared" si="0"/>
        <v>48.374092985756519</v>
      </c>
      <c r="H7" s="4">
        <f t="shared" si="1"/>
        <v>72.047244094488192</v>
      </c>
      <c r="I7">
        <f t="shared" si="2"/>
        <v>6</v>
      </c>
      <c r="J7">
        <f t="shared" si="3"/>
        <v>0</v>
      </c>
      <c r="K7" t="str">
        <f t="shared" si="4"/>
        <v>6' 0"</v>
      </c>
      <c r="L7">
        <f t="shared" si="5"/>
        <v>357</v>
      </c>
    </row>
    <row r="8" spans="1:17">
      <c r="A8" s="1" t="s">
        <v>112</v>
      </c>
      <c r="B8" s="1">
        <v>1</v>
      </c>
      <c r="C8" s="1" t="s">
        <v>31</v>
      </c>
      <c r="D8" s="1">
        <f>_xlfn.XLOOKUP(C8,'rank lookup'!$A$1:$A$21,'rank lookup'!$B$1:$B$21,,0)</f>
        <v>3</v>
      </c>
      <c r="E8" s="19">
        <v>182</v>
      </c>
      <c r="F8" s="19">
        <v>161</v>
      </c>
      <c r="G8" s="5">
        <f t="shared" si="0"/>
        <v>48.605240912933226</v>
      </c>
      <c r="H8" s="4">
        <f t="shared" si="1"/>
        <v>71.653543307086608</v>
      </c>
      <c r="I8">
        <f t="shared" si="2"/>
        <v>5</v>
      </c>
      <c r="J8">
        <f t="shared" si="3"/>
        <v>11.7</v>
      </c>
      <c r="K8" t="str">
        <f t="shared" si="4"/>
        <v>5' 11.7"</v>
      </c>
      <c r="L8">
        <f t="shared" si="5"/>
        <v>355</v>
      </c>
    </row>
    <row r="9" spans="1:17">
      <c r="A9" s="1" t="s">
        <v>114</v>
      </c>
      <c r="B9" s="1"/>
      <c r="C9" s="1" t="s">
        <v>31</v>
      </c>
      <c r="D9" s="1">
        <f>_xlfn.XLOOKUP(C9,'rank lookup'!$A$1:$A$21,'rank lookup'!$B$1:$B$21,,0)</f>
        <v>3</v>
      </c>
      <c r="E9" s="19">
        <v>183</v>
      </c>
      <c r="F9" s="19">
        <v>132</v>
      </c>
      <c r="G9" s="5">
        <f t="shared" si="0"/>
        <v>39.415927618023829</v>
      </c>
      <c r="H9" s="4">
        <f t="shared" si="1"/>
        <v>72.047244094488192</v>
      </c>
      <c r="I9">
        <f t="shared" si="2"/>
        <v>6</v>
      </c>
      <c r="J9">
        <f t="shared" si="3"/>
        <v>0</v>
      </c>
      <c r="K9" t="str">
        <f t="shared" si="4"/>
        <v>6' 0"</v>
      </c>
      <c r="L9">
        <f t="shared" si="5"/>
        <v>291</v>
      </c>
    </row>
    <row r="10" spans="1:17">
      <c r="A10" s="1" t="s">
        <v>95</v>
      </c>
      <c r="B10" s="1"/>
      <c r="C10" s="1" t="s">
        <v>31</v>
      </c>
      <c r="D10" s="1">
        <f>_xlfn.XLOOKUP(C10,'rank lookup'!$A$1:$A$21,'rank lookup'!$B$1:$B$21,,0)</f>
        <v>3</v>
      </c>
      <c r="E10" s="19">
        <v>185</v>
      </c>
      <c r="F10" s="19">
        <v>140</v>
      </c>
      <c r="G10" s="5">
        <f t="shared" si="0"/>
        <v>40.905770635500367</v>
      </c>
      <c r="H10" s="4">
        <f t="shared" si="1"/>
        <v>72.834645669291348</v>
      </c>
      <c r="I10">
        <f t="shared" si="2"/>
        <v>6</v>
      </c>
      <c r="J10">
        <f t="shared" si="3"/>
        <v>0.8</v>
      </c>
      <c r="K10" t="str">
        <f t="shared" si="4"/>
        <v>6' 0.8"</v>
      </c>
      <c r="L10">
        <f t="shared" si="5"/>
        <v>309</v>
      </c>
    </row>
    <row r="11" spans="1:17">
      <c r="A11" s="1" t="s">
        <v>102</v>
      </c>
      <c r="B11" s="1"/>
      <c r="C11" s="1" t="s">
        <v>42</v>
      </c>
      <c r="D11" s="1">
        <f>_xlfn.XLOOKUP(C11,'rank lookup'!$A$1:$A$21,'rank lookup'!$B$1:$B$21,,0)</f>
        <v>4</v>
      </c>
      <c r="E11" s="19">
        <v>185</v>
      </c>
      <c r="F11" s="19">
        <v>138</v>
      </c>
      <c r="G11" s="5">
        <f t="shared" si="0"/>
        <v>40.321402483564647</v>
      </c>
      <c r="H11" s="4">
        <f t="shared" si="1"/>
        <v>72.834645669291348</v>
      </c>
      <c r="I11">
        <f t="shared" si="2"/>
        <v>6</v>
      </c>
      <c r="J11">
        <f t="shared" si="3"/>
        <v>0.8</v>
      </c>
      <c r="K11" t="str">
        <f t="shared" si="4"/>
        <v>6' 0.8"</v>
      </c>
      <c r="L11">
        <f t="shared" si="5"/>
        <v>304</v>
      </c>
    </row>
    <row r="12" spans="1:17">
      <c r="A12" s="1" t="s">
        <v>93</v>
      </c>
      <c r="B12" s="1"/>
      <c r="C12" s="1" t="s">
        <v>42</v>
      </c>
      <c r="D12" s="1">
        <f>_xlfn.XLOOKUP(C12,'rank lookup'!$A$1:$A$21,'rank lookup'!$B$1:$B$21,,0)</f>
        <v>4</v>
      </c>
      <c r="E12" s="19">
        <v>187</v>
      </c>
      <c r="F12" s="19">
        <v>151</v>
      </c>
      <c r="G12" s="5">
        <f t="shared" si="0"/>
        <v>43.181103262889984</v>
      </c>
      <c r="H12" s="4">
        <f t="shared" si="1"/>
        <v>73.622047244094489</v>
      </c>
      <c r="I12">
        <f t="shared" si="2"/>
        <v>6</v>
      </c>
      <c r="J12">
        <f t="shared" si="3"/>
        <v>1.6</v>
      </c>
      <c r="K12" t="str">
        <f t="shared" si="4"/>
        <v>6' 1.6"</v>
      </c>
      <c r="L12">
        <f t="shared" si="5"/>
        <v>333</v>
      </c>
    </row>
    <row r="13" spans="1:17">
      <c r="A13" s="1" t="s">
        <v>89</v>
      </c>
      <c r="B13" s="1">
        <v>1</v>
      </c>
      <c r="C13" s="1" t="s">
        <v>42</v>
      </c>
      <c r="D13" s="1">
        <f>_xlfn.XLOOKUP(C13,'rank lookup'!$A$1:$A$21,'rank lookup'!$B$1:$B$21,,0)</f>
        <v>4</v>
      </c>
      <c r="E13" s="19">
        <v>190</v>
      </c>
      <c r="F13" s="19">
        <v>212</v>
      </c>
      <c r="G13" s="5">
        <f t="shared" si="0"/>
        <v>58.725761772853183</v>
      </c>
      <c r="H13" s="4">
        <f t="shared" si="1"/>
        <v>74.803149606299215</v>
      </c>
      <c r="I13">
        <f t="shared" si="2"/>
        <v>6</v>
      </c>
      <c r="J13">
        <f t="shared" si="3"/>
        <v>2.8</v>
      </c>
      <c r="K13" t="str">
        <f t="shared" si="4"/>
        <v>6' 2.8"</v>
      </c>
      <c r="L13">
        <f t="shared" si="5"/>
        <v>467</v>
      </c>
    </row>
    <row r="14" spans="1:17">
      <c r="A14" s="1" t="s">
        <v>133</v>
      </c>
      <c r="C14" t="s">
        <v>132</v>
      </c>
      <c r="D14" s="1">
        <f>_xlfn.XLOOKUP(C14,'rank lookup'!$A$1:$A$21,'rank lookup'!$B$1:$B$21,,0)</f>
        <v>5</v>
      </c>
      <c r="E14" s="19">
        <v>171</v>
      </c>
      <c r="F14" s="19">
        <v>114</v>
      </c>
      <c r="G14" s="5">
        <f t="shared" si="0"/>
        <v>38.98635477582846</v>
      </c>
      <c r="H14" s="4">
        <f t="shared" si="1"/>
        <v>67.322834645669289</v>
      </c>
      <c r="I14">
        <f t="shared" si="2"/>
        <v>5</v>
      </c>
      <c r="J14">
        <f t="shared" si="3"/>
        <v>7.3</v>
      </c>
      <c r="K14" t="str">
        <f t="shared" si="4"/>
        <v>5' 7.3"</v>
      </c>
      <c r="L14">
        <f t="shared" si="5"/>
        <v>251</v>
      </c>
    </row>
    <row r="15" spans="1:17">
      <c r="A15" s="1" t="s">
        <v>124</v>
      </c>
      <c r="B15" s="1"/>
      <c r="C15" s="1" t="s">
        <v>132</v>
      </c>
      <c r="D15" s="1">
        <f>_xlfn.XLOOKUP(C15,'rank lookup'!$A$1:$A$21,'rank lookup'!$B$1:$B$21,,0)</f>
        <v>5</v>
      </c>
      <c r="E15" s="19">
        <v>174</v>
      </c>
      <c r="F15" s="19">
        <v>133</v>
      </c>
      <c r="G15" s="5">
        <f t="shared" si="0"/>
        <v>43.929184832870916</v>
      </c>
      <c r="H15" s="4">
        <f t="shared" si="1"/>
        <v>68.503937007874015</v>
      </c>
      <c r="I15">
        <f t="shared" si="2"/>
        <v>5</v>
      </c>
      <c r="J15">
        <f t="shared" si="3"/>
        <v>8.5</v>
      </c>
      <c r="K15" t="str">
        <f t="shared" si="4"/>
        <v>5' 8.5"</v>
      </c>
      <c r="L15">
        <f t="shared" si="5"/>
        <v>293</v>
      </c>
    </row>
    <row r="16" spans="1:17">
      <c r="A16" s="1" t="s">
        <v>117</v>
      </c>
      <c r="B16" s="1"/>
      <c r="C16" s="1" t="s">
        <v>136</v>
      </c>
      <c r="D16" s="1">
        <f>_xlfn.XLOOKUP(C16,'rank lookup'!$A$1:$A$21,'rank lookup'!$B$1:$B$21,,0)</f>
        <v>6</v>
      </c>
      <c r="E16" s="19">
        <v>180</v>
      </c>
      <c r="F16" s="19">
        <v>153</v>
      </c>
      <c r="G16" s="5">
        <f t="shared" si="0"/>
        <v>47.222222222222221</v>
      </c>
      <c r="H16" s="4">
        <f t="shared" si="1"/>
        <v>70.866141732283467</v>
      </c>
      <c r="I16">
        <f t="shared" si="2"/>
        <v>5</v>
      </c>
      <c r="J16">
        <f t="shared" si="3"/>
        <v>10.9</v>
      </c>
      <c r="K16" t="str">
        <f t="shared" si="4"/>
        <v>5' 10.9"</v>
      </c>
      <c r="L16">
        <f t="shared" si="5"/>
        <v>337</v>
      </c>
    </row>
    <row r="17" spans="1:12">
      <c r="A17" s="1" t="s">
        <v>94</v>
      </c>
      <c r="B17" s="1"/>
      <c r="C17" s="1" t="s">
        <v>136</v>
      </c>
      <c r="D17" s="1">
        <f>_xlfn.XLOOKUP(C17,'rank lookup'!$A$1:$A$21,'rank lookup'!$B$1:$B$21,,0)</f>
        <v>6</v>
      </c>
      <c r="E17" s="19">
        <v>189</v>
      </c>
      <c r="F17" s="19">
        <v>167</v>
      </c>
      <c r="G17" s="5">
        <f t="shared" si="0"/>
        <v>46.751210772374797</v>
      </c>
      <c r="H17" s="4">
        <f t="shared" si="1"/>
        <v>74.409448818897644</v>
      </c>
      <c r="I17">
        <f t="shared" si="2"/>
        <v>6</v>
      </c>
      <c r="J17">
        <f t="shared" si="3"/>
        <v>2.4</v>
      </c>
      <c r="K17" t="str">
        <f t="shared" si="4"/>
        <v>6' 2.4"</v>
      </c>
      <c r="L17">
        <f t="shared" si="5"/>
        <v>368</v>
      </c>
    </row>
    <row r="18" spans="1:12">
      <c r="A18" s="1" t="s">
        <v>121</v>
      </c>
      <c r="B18" s="1"/>
      <c r="C18" s="1" t="s">
        <v>137</v>
      </c>
      <c r="D18" s="1">
        <f>_xlfn.XLOOKUP(C18,'rank lookup'!$A$1:$A$21,'rank lookup'!$B$1:$B$21,,0)</f>
        <v>7</v>
      </c>
      <c r="E18" s="19">
        <v>175</v>
      </c>
      <c r="F18" s="19">
        <v>151</v>
      </c>
      <c r="G18" s="5">
        <f t="shared" si="0"/>
        <v>49.306122448979593</v>
      </c>
      <c r="H18" s="4">
        <f t="shared" si="1"/>
        <v>68.897637795275585</v>
      </c>
      <c r="I18">
        <f t="shared" si="2"/>
        <v>5</v>
      </c>
      <c r="J18">
        <f t="shared" si="3"/>
        <v>8.9</v>
      </c>
      <c r="K18" t="str">
        <f t="shared" si="4"/>
        <v>5' 8.9"</v>
      </c>
      <c r="L18">
        <f t="shared" si="5"/>
        <v>333</v>
      </c>
    </row>
    <row r="19" spans="1:12">
      <c r="A19" s="1" t="s">
        <v>92</v>
      </c>
      <c r="B19" s="1">
        <v>1</v>
      </c>
      <c r="C19" s="1" t="s">
        <v>137</v>
      </c>
      <c r="D19" s="1">
        <f>_xlfn.XLOOKUP(C19,'rank lookup'!$A$1:$A$21,'rank lookup'!$B$1:$B$21,,0)</f>
        <v>7</v>
      </c>
      <c r="E19" s="19">
        <v>189</v>
      </c>
      <c r="F19" s="19">
        <v>174</v>
      </c>
      <c r="G19" s="5">
        <f t="shared" si="0"/>
        <v>48.710842361636011</v>
      </c>
      <c r="H19" s="4">
        <f t="shared" si="1"/>
        <v>74.409448818897644</v>
      </c>
      <c r="I19">
        <f t="shared" si="2"/>
        <v>6</v>
      </c>
      <c r="J19">
        <f t="shared" si="3"/>
        <v>2.4</v>
      </c>
      <c r="K19" t="str">
        <f t="shared" si="4"/>
        <v>6' 2.4"</v>
      </c>
      <c r="L19">
        <f t="shared" si="5"/>
        <v>384</v>
      </c>
    </row>
    <row r="20" spans="1:12">
      <c r="A20" s="1" t="s">
        <v>138</v>
      </c>
      <c r="C20" s="1" t="s">
        <v>139</v>
      </c>
      <c r="D20" s="1">
        <f>_xlfn.XLOOKUP(C20,'rank lookup'!$A$1:$A$21,'rank lookup'!$B$1:$B$21,,0)</f>
        <v>8</v>
      </c>
      <c r="E20" s="19">
        <v>184</v>
      </c>
      <c r="F20" s="19">
        <v>170</v>
      </c>
      <c r="G20" s="5">
        <f t="shared" si="0"/>
        <v>50.21266540642722</v>
      </c>
      <c r="H20" s="4">
        <f t="shared" si="1"/>
        <v>72.440944881889763</v>
      </c>
      <c r="I20">
        <f t="shared" si="2"/>
        <v>6</v>
      </c>
      <c r="J20">
        <f t="shared" si="3"/>
        <v>0.4</v>
      </c>
      <c r="K20" t="str">
        <f t="shared" si="4"/>
        <v>6' 0.4"</v>
      </c>
      <c r="L20">
        <f t="shared" si="5"/>
        <v>375</v>
      </c>
    </row>
    <row r="21" spans="1:12">
      <c r="A21" s="1" t="s">
        <v>96</v>
      </c>
      <c r="B21" s="1"/>
      <c r="C21" s="1" t="s">
        <v>139</v>
      </c>
      <c r="D21" s="1">
        <f>_xlfn.XLOOKUP(C21,'rank lookup'!$A$1:$A$21,'rank lookup'!$B$1:$B$21,,0)</f>
        <v>8</v>
      </c>
      <c r="E21" s="19">
        <v>186</v>
      </c>
      <c r="F21" s="19">
        <v>182</v>
      </c>
      <c r="G21" s="5">
        <f t="shared" si="0"/>
        <v>52.607237830963122</v>
      </c>
      <c r="H21" s="4">
        <f t="shared" si="1"/>
        <v>73.228346456692918</v>
      </c>
      <c r="I21">
        <f t="shared" si="2"/>
        <v>6</v>
      </c>
      <c r="J21">
        <f t="shared" si="3"/>
        <v>1.2</v>
      </c>
      <c r="K21" t="str">
        <f t="shared" si="4"/>
        <v>6' 1.2"</v>
      </c>
      <c r="L21">
        <f t="shared" si="5"/>
        <v>401</v>
      </c>
    </row>
    <row r="22" spans="1:12">
      <c r="A22" s="1" t="s">
        <v>111</v>
      </c>
      <c r="B22" s="1"/>
      <c r="C22" s="1" t="s">
        <v>140</v>
      </c>
      <c r="D22" s="1">
        <f>_xlfn.XLOOKUP(C22,'rank lookup'!$A$1:$A$21,'rank lookup'!$B$1:$B$21,,0)</f>
        <v>9</v>
      </c>
      <c r="E22" s="19">
        <v>182</v>
      </c>
      <c r="F22" s="19">
        <v>141</v>
      </c>
      <c r="G22" s="5">
        <f t="shared" si="0"/>
        <v>42.567322787103002</v>
      </c>
      <c r="H22" s="4">
        <f t="shared" si="1"/>
        <v>71.653543307086608</v>
      </c>
      <c r="I22">
        <f t="shared" si="2"/>
        <v>5</v>
      </c>
      <c r="J22">
        <f t="shared" si="3"/>
        <v>11.7</v>
      </c>
      <c r="K22" t="str">
        <f t="shared" si="4"/>
        <v>5' 11.7"</v>
      </c>
      <c r="L22">
        <f t="shared" si="5"/>
        <v>311</v>
      </c>
    </row>
    <row r="23" spans="1:12">
      <c r="A23" s="1" t="s">
        <v>104</v>
      </c>
      <c r="B23" s="1"/>
      <c r="C23" s="1" t="s">
        <v>140</v>
      </c>
      <c r="D23" s="1">
        <f>_xlfn.XLOOKUP(C23,'rank lookup'!$A$1:$A$21,'rank lookup'!$B$1:$B$21,,0)</f>
        <v>9</v>
      </c>
      <c r="E23" s="19">
        <v>186</v>
      </c>
      <c r="F23" s="19">
        <v>166</v>
      </c>
      <c r="G23" s="5">
        <f t="shared" si="0"/>
        <v>47.982425713955372</v>
      </c>
      <c r="H23" s="4">
        <f t="shared" si="1"/>
        <v>73.228346456692918</v>
      </c>
      <c r="I23">
        <f t="shared" si="2"/>
        <v>6</v>
      </c>
      <c r="J23">
        <f t="shared" si="3"/>
        <v>1.2</v>
      </c>
      <c r="K23" t="str">
        <f t="shared" si="4"/>
        <v>6' 1.2"</v>
      </c>
      <c r="L23">
        <f t="shared" si="5"/>
        <v>366</v>
      </c>
    </row>
    <row r="24" spans="1:12">
      <c r="A24" s="1" t="s">
        <v>99</v>
      </c>
      <c r="B24" s="1"/>
      <c r="C24" s="1" t="s">
        <v>141</v>
      </c>
      <c r="D24" s="1">
        <f>_xlfn.XLOOKUP(C24,'rank lookup'!$A$1:$A$21,'rank lookup'!$B$1:$B$21,,0)</f>
        <v>10</v>
      </c>
      <c r="E24" s="19">
        <v>183</v>
      </c>
      <c r="F24" s="19">
        <v>149</v>
      </c>
      <c r="G24" s="5">
        <f t="shared" si="0"/>
        <v>44.492221326405691</v>
      </c>
      <c r="H24" s="4">
        <f t="shared" si="1"/>
        <v>72.047244094488192</v>
      </c>
      <c r="I24">
        <f t="shared" si="2"/>
        <v>6</v>
      </c>
      <c r="J24">
        <f t="shared" si="3"/>
        <v>0</v>
      </c>
      <c r="K24" t="str">
        <f t="shared" si="4"/>
        <v>6' 0"</v>
      </c>
      <c r="L24">
        <f t="shared" si="5"/>
        <v>328</v>
      </c>
    </row>
    <row r="25" spans="1:12">
      <c r="A25" s="1" t="s">
        <v>100</v>
      </c>
      <c r="B25" s="1"/>
      <c r="C25" s="1" t="s">
        <v>141</v>
      </c>
      <c r="D25" s="1">
        <f>_xlfn.XLOOKUP(C25,'rank lookup'!$A$1:$A$21,'rank lookup'!$B$1:$B$21,,0)</f>
        <v>10</v>
      </c>
      <c r="E25" s="19">
        <v>186</v>
      </c>
      <c r="F25" s="19">
        <v>135</v>
      </c>
      <c r="G25" s="5">
        <f t="shared" si="0"/>
        <v>39.021852237252858</v>
      </c>
      <c r="H25" s="4">
        <f t="shared" si="1"/>
        <v>73.228346456692918</v>
      </c>
      <c r="I25">
        <f t="shared" si="2"/>
        <v>6</v>
      </c>
      <c r="J25">
        <f t="shared" si="3"/>
        <v>1.2</v>
      </c>
      <c r="K25" t="str">
        <f t="shared" si="4"/>
        <v>6' 1.2"</v>
      </c>
      <c r="L25">
        <f t="shared" si="5"/>
        <v>298</v>
      </c>
    </row>
    <row r="26" spans="1:12">
      <c r="A26" s="1" t="s">
        <v>120</v>
      </c>
      <c r="B26" s="1"/>
      <c r="C26" s="1" t="s">
        <v>135</v>
      </c>
      <c r="D26" s="1">
        <f>_xlfn.XLOOKUP(C26,'rank lookup'!$A$1:$A$21,'rank lookup'!$B$1:$B$21,,0)</f>
        <v>11</v>
      </c>
      <c r="E26" s="19">
        <v>178</v>
      </c>
      <c r="F26" s="19">
        <v>162</v>
      </c>
      <c r="G26" s="5">
        <f t="shared" si="0"/>
        <v>51.129907839919206</v>
      </c>
      <c r="H26" s="4">
        <f t="shared" si="1"/>
        <v>70.078740157480311</v>
      </c>
      <c r="I26">
        <f t="shared" si="2"/>
        <v>5</v>
      </c>
      <c r="J26">
        <f t="shared" si="3"/>
        <v>10.1</v>
      </c>
      <c r="K26" t="str">
        <f t="shared" si="4"/>
        <v>5' 10.1"</v>
      </c>
      <c r="L26">
        <f t="shared" si="5"/>
        <v>357</v>
      </c>
    </row>
    <row r="27" spans="1:12">
      <c r="A27" s="1" t="s">
        <v>91</v>
      </c>
      <c r="B27" s="1"/>
      <c r="C27" s="1" t="s">
        <v>135</v>
      </c>
      <c r="D27" s="1">
        <f>_xlfn.XLOOKUP(C27,'rank lookup'!$A$1:$A$21,'rank lookup'!$B$1:$B$21,,0)</f>
        <v>11</v>
      </c>
      <c r="E27" s="19">
        <v>190</v>
      </c>
      <c r="F27" s="19">
        <v>186</v>
      </c>
      <c r="G27" s="5">
        <f t="shared" si="0"/>
        <v>51.523545706371188</v>
      </c>
      <c r="H27" s="4">
        <f t="shared" si="1"/>
        <v>74.803149606299215</v>
      </c>
      <c r="I27">
        <f t="shared" si="2"/>
        <v>6</v>
      </c>
      <c r="J27">
        <f t="shared" si="3"/>
        <v>2.8</v>
      </c>
      <c r="K27" t="str">
        <f t="shared" si="4"/>
        <v>6' 2.8"</v>
      </c>
      <c r="L27">
        <f t="shared" si="5"/>
        <v>410</v>
      </c>
    </row>
    <row r="28" spans="1:12">
      <c r="A28" s="1" t="s">
        <v>103</v>
      </c>
      <c r="B28" s="1"/>
      <c r="C28" s="1" t="s">
        <v>142</v>
      </c>
      <c r="D28" s="1">
        <f>_xlfn.XLOOKUP(C28,'rank lookup'!$A$1:$A$21,'rank lookup'!$B$1:$B$21,,0)</f>
        <v>12</v>
      </c>
      <c r="E28" s="19">
        <v>184</v>
      </c>
      <c r="F28" s="19">
        <v>161</v>
      </c>
      <c r="G28" s="5">
        <f t="shared" si="0"/>
        <v>47.554347826086961</v>
      </c>
      <c r="H28" s="4">
        <f t="shared" si="1"/>
        <v>72.440944881889763</v>
      </c>
      <c r="I28">
        <f t="shared" si="2"/>
        <v>6</v>
      </c>
      <c r="J28">
        <f t="shared" si="3"/>
        <v>0.4</v>
      </c>
      <c r="K28" t="str">
        <f t="shared" si="4"/>
        <v>6' 0.4"</v>
      </c>
      <c r="L28">
        <f t="shared" si="5"/>
        <v>355</v>
      </c>
    </row>
    <row r="29" spans="1:12">
      <c r="A29" s="1" t="s">
        <v>87</v>
      </c>
      <c r="B29" s="1">
        <v>1</v>
      </c>
      <c r="C29" s="1" t="s">
        <v>142</v>
      </c>
      <c r="D29" s="1">
        <f>_xlfn.XLOOKUP(C29,'rank lookup'!$A$1:$A$21,'rank lookup'!$B$1:$B$21,,0)</f>
        <v>12</v>
      </c>
      <c r="E29" s="19">
        <v>192</v>
      </c>
      <c r="F29" s="19">
        <v>179</v>
      </c>
      <c r="G29" s="5">
        <f t="shared" si="0"/>
        <v>48.556857638888893</v>
      </c>
      <c r="H29" s="4">
        <f t="shared" si="1"/>
        <v>75.59055118110237</v>
      </c>
      <c r="I29">
        <f t="shared" si="2"/>
        <v>6</v>
      </c>
      <c r="J29">
        <f t="shared" si="3"/>
        <v>3.6</v>
      </c>
      <c r="K29" t="str">
        <f t="shared" si="4"/>
        <v>6' 3.6"</v>
      </c>
      <c r="L29">
        <f t="shared" si="5"/>
        <v>395</v>
      </c>
    </row>
    <row r="30" spans="1:12">
      <c r="A30" s="1" t="s">
        <v>122</v>
      </c>
      <c r="B30" s="1"/>
      <c r="C30" s="1" t="s">
        <v>143</v>
      </c>
      <c r="D30" s="1">
        <f>_xlfn.XLOOKUP(C30,'rank lookup'!$A$1:$A$21,'rank lookup'!$B$1:$B$21,,0)</f>
        <v>13</v>
      </c>
      <c r="E30" s="19">
        <v>176</v>
      </c>
      <c r="F30" s="19">
        <v>131</v>
      </c>
      <c r="G30" s="5">
        <f t="shared" si="0"/>
        <v>42.290805785123965</v>
      </c>
      <c r="H30" s="4">
        <f t="shared" si="1"/>
        <v>69.29133858267717</v>
      </c>
      <c r="I30">
        <f t="shared" si="2"/>
        <v>5</v>
      </c>
      <c r="J30">
        <f t="shared" si="3"/>
        <v>9.3000000000000007</v>
      </c>
      <c r="K30" t="str">
        <f t="shared" si="4"/>
        <v>5' 9.3"</v>
      </c>
      <c r="L30">
        <f t="shared" si="5"/>
        <v>289</v>
      </c>
    </row>
    <row r="31" spans="1:12">
      <c r="A31" s="1" t="s">
        <v>97</v>
      </c>
      <c r="B31" s="1"/>
      <c r="C31" s="1" t="s">
        <v>143</v>
      </c>
      <c r="D31" s="1">
        <f>_xlfn.XLOOKUP(C31,'rank lookup'!$A$1:$A$21,'rank lookup'!$B$1:$B$21,,0)</f>
        <v>13</v>
      </c>
      <c r="E31" s="19">
        <v>189</v>
      </c>
      <c r="F31" s="19">
        <v>154</v>
      </c>
      <c r="G31" s="5">
        <f t="shared" si="0"/>
        <v>43.111894963746821</v>
      </c>
      <c r="H31" s="4">
        <f t="shared" si="1"/>
        <v>74.409448818897644</v>
      </c>
      <c r="I31">
        <f t="shared" si="2"/>
        <v>6</v>
      </c>
      <c r="J31">
        <f t="shared" si="3"/>
        <v>2.4</v>
      </c>
      <c r="K31" t="str">
        <f t="shared" si="4"/>
        <v>6' 2.4"</v>
      </c>
      <c r="L31">
        <f t="shared" si="5"/>
        <v>340</v>
      </c>
    </row>
    <row r="32" spans="1:12">
      <c r="A32" t="s">
        <v>144</v>
      </c>
      <c r="C32" s="1" t="s">
        <v>145</v>
      </c>
      <c r="D32" s="1">
        <f>_xlfn.XLOOKUP(C32,'rank lookup'!$A$1:$A$21,'rank lookup'!$B$1:$B$21,,0)</f>
        <v>14</v>
      </c>
      <c r="E32" s="19">
        <v>184</v>
      </c>
      <c r="F32" s="19">
        <v>148</v>
      </c>
      <c r="G32" s="5">
        <f t="shared" si="0"/>
        <v>43.714555765595463</v>
      </c>
      <c r="H32" s="4">
        <f t="shared" si="1"/>
        <v>72.440944881889763</v>
      </c>
      <c r="I32">
        <f t="shared" si="2"/>
        <v>6</v>
      </c>
      <c r="J32">
        <f t="shared" si="3"/>
        <v>0.4</v>
      </c>
      <c r="K32" t="str">
        <f t="shared" si="4"/>
        <v>6' 0.4"</v>
      </c>
      <c r="L32">
        <f t="shared" si="5"/>
        <v>326</v>
      </c>
    </row>
    <row r="33" spans="1:12">
      <c r="A33" s="1" t="s">
        <v>101</v>
      </c>
      <c r="B33" s="1"/>
      <c r="C33" s="1" t="s">
        <v>145</v>
      </c>
      <c r="D33" s="1">
        <f>_xlfn.XLOOKUP(C33,'rank lookup'!$A$1:$A$21,'rank lookup'!$B$1:$B$21,,0)</f>
        <v>14</v>
      </c>
      <c r="E33" s="19">
        <v>184</v>
      </c>
      <c r="F33" s="19">
        <v>167</v>
      </c>
      <c r="G33" s="5">
        <f t="shared" si="0"/>
        <v>49.326559546313803</v>
      </c>
      <c r="H33" s="4">
        <f t="shared" si="1"/>
        <v>72.440944881889763</v>
      </c>
      <c r="I33">
        <f t="shared" si="2"/>
        <v>6</v>
      </c>
      <c r="J33">
        <f t="shared" si="3"/>
        <v>0.4</v>
      </c>
      <c r="K33" t="str">
        <f t="shared" si="4"/>
        <v>6' 0.4"</v>
      </c>
      <c r="L33">
        <f t="shared" si="5"/>
        <v>368</v>
      </c>
    </row>
    <row r="34" spans="1:12">
      <c r="A34" s="1" t="s">
        <v>113</v>
      </c>
      <c r="B34" s="1"/>
      <c r="C34" s="1" t="s">
        <v>147</v>
      </c>
      <c r="D34" s="1">
        <f>_xlfn.XLOOKUP(C34,'rank lookup'!$A$1:$A$21,'rank lookup'!$B$1:$B$21,,0)</f>
        <v>15</v>
      </c>
      <c r="E34" s="19">
        <v>181</v>
      </c>
      <c r="F34" s="19">
        <v>189</v>
      </c>
      <c r="G34" s="5">
        <f t="shared" si="0"/>
        <v>57.690546686609082</v>
      </c>
      <c r="H34" s="4">
        <f t="shared" si="1"/>
        <v>71.259842519685037</v>
      </c>
      <c r="I34">
        <f t="shared" si="2"/>
        <v>5</v>
      </c>
      <c r="J34">
        <f t="shared" si="3"/>
        <v>11.3</v>
      </c>
      <c r="K34" t="str">
        <f t="shared" si="4"/>
        <v>5' 11.3"</v>
      </c>
      <c r="L34">
        <f t="shared" si="5"/>
        <v>417</v>
      </c>
    </row>
    <row r="35" spans="1:12">
      <c r="A35" t="s">
        <v>146</v>
      </c>
      <c r="C35" s="1" t="s">
        <v>147</v>
      </c>
      <c r="D35" s="1">
        <f>_xlfn.XLOOKUP(C35,'rank lookup'!$A$1:$A$21,'rank lookup'!$B$1:$B$21,,0)</f>
        <v>15</v>
      </c>
      <c r="E35" s="19">
        <v>189</v>
      </c>
      <c r="F35" s="19">
        <v>158</v>
      </c>
      <c r="G35" s="5">
        <f t="shared" si="0"/>
        <v>44.23168444332466</v>
      </c>
      <c r="H35" s="4">
        <f t="shared" si="1"/>
        <v>74.409448818897644</v>
      </c>
      <c r="I35">
        <f t="shared" si="2"/>
        <v>6</v>
      </c>
      <c r="J35">
        <f t="shared" si="3"/>
        <v>2.4</v>
      </c>
      <c r="K35" t="str">
        <f t="shared" si="4"/>
        <v>6' 2.4"</v>
      </c>
      <c r="L35">
        <f t="shared" si="5"/>
        <v>348</v>
      </c>
    </row>
    <row r="36" spans="1:12">
      <c r="A36" t="s">
        <v>149</v>
      </c>
      <c r="C36" s="1" t="s">
        <v>148</v>
      </c>
      <c r="D36" s="1">
        <f>_xlfn.XLOOKUP(C36,'rank lookup'!$A$1:$A$21,'rank lookup'!$B$1:$B$21,,0)</f>
        <v>16</v>
      </c>
      <c r="E36" s="20">
        <v>187</v>
      </c>
      <c r="F36" s="19">
        <v>154</v>
      </c>
      <c r="G36" s="5">
        <f t="shared" si="0"/>
        <v>44.039005976722237</v>
      </c>
      <c r="H36" s="4">
        <f t="shared" si="1"/>
        <v>73.622047244094489</v>
      </c>
      <c r="I36">
        <f t="shared" si="2"/>
        <v>6</v>
      </c>
      <c r="J36">
        <f t="shared" si="3"/>
        <v>1.6</v>
      </c>
      <c r="K36" t="str">
        <f t="shared" si="4"/>
        <v>6' 1.6"</v>
      </c>
      <c r="L36">
        <f t="shared" si="5"/>
        <v>340</v>
      </c>
    </row>
    <row r="37" spans="1:12">
      <c r="A37" s="1" t="s">
        <v>90</v>
      </c>
      <c r="B37" s="1"/>
      <c r="C37" s="1" t="s">
        <v>148</v>
      </c>
      <c r="D37" s="1">
        <f>_xlfn.XLOOKUP(C37,'rank lookup'!$A$1:$A$21,'rank lookup'!$B$1:$B$21,,0)</f>
        <v>16</v>
      </c>
      <c r="E37" s="19">
        <v>189</v>
      </c>
      <c r="F37" s="19">
        <v>156</v>
      </c>
      <c r="G37" s="5">
        <f t="shared" si="0"/>
        <v>43.671789703535737</v>
      </c>
      <c r="H37" s="4">
        <f t="shared" si="1"/>
        <v>74.409448818897644</v>
      </c>
      <c r="I37">
        <f t="shared" si="2"/>
        <v>6</v>
      </c>
      <c r="J37">
        <f t="shared" si="3"/>
        <v>2.4</v>
      </c>
      <c r="K37" t="str">
        <f t="shared" si="4"/>
        <v>6' 2.4"</v>
      </c>
      <c r="L37">
        <f t="shared" si="5"/>
        <v>344</v>
      </c>
    </row>
    <row r="38" spans="1:12">
      <c r="A38" s="1" t="s">
        <v>98</v>
      </c>
      <c r="B38" s="1"/>
      <c r="C38" s="1" t="s">
        <v>150</v>
      </c>
      <c r="D38" s="1">
        <f>_xlfn.XLOOKUP(C38,'rank lookup'!$A$1:$A$21,'rank lookup'!$B$1:$B$21,,0)</f>
        <v>17</v>
      </c>
      <c r="E38" s="19">
        <v>187</v>
      </c>
      <c r="F38" s="19">
        <v>145</v>
      </c>
      <c r="G38" s="5">
        <f t="shared" si="0"/>
        <v>41.465297835225485</v>
      </c>
      <c r="H38" s="4">
        <f t="shared" si="1"/>
        <v>73.622047244094489</v>
      </c>
      <c r="I38">
        <f t="shared" si="2"/>
        <v>6</v>
      </c>
      <c r="J38">
        <f t="shared" si="3"/>
        <v>1.6</v>
      </c>
      <c r="K38" t="str">
        <f t="shared" si="4"/>
        <v>6' 1.6"</v>
      </c>
      <c r="L38">
        <f t="shared" si="5"/>
        <v>320</v>
      </c>
    </row>
    <row r="39" spans="1:12">
      <c r="A39" s="1" t="s">
        <v>88</v>
      </c>
      <c r="B39" s="1"/>
      <c r="C39" s="1" t="s">
        <v>150</v>
      </c>
      <c r="D39" s="1">
        <f>_xlfn.XLOOKUP(C39,'rank lookup'!$A$1:$A$21,'rank lookup'!$B$1:$B$21,,0)</f>
        <v>17</v>
      </c>
      <c r="E39" s="19">
        <v>189</v>
      </c>
      <c r="F39" s="19">
        <v>176</v>
      </c>
      <c r="G39" s="5">
        <f t="shared" si="0"/>
        <v>49.270737101424935</v>
      </c>
      <c r="H39" s="4">
        <f t="shared" si="1"/>
        <v>74.409448818897644</v>
      </c>
      <c r="I39">
        <f t="shared" si="2"/>
        <v>6</v>
      </c>
      <c r="J39">
        <f t="shared" si="3"/>
        <v>2.4</v>
      </c>
      <c r="K39" t="str">
        <f t="shared" si="4"/>
        <v>6' 2.4"</v>
      </c>
      <c r="L39">
        <f t="shared" si="5"/>
        <v>388</v>
      </c>
    </row>
    <row r="40" spans="1:12">
      <c r="A40" s="1" t="s">
        <v>110</v>
      </c>
      <c r="B40" s="1"/>
      <c r="C40" s="1" t="s">
        <v>151</v>
      </c>
      <c r="D40" s="1">
        <f>_xlfn.XLOOKUP(C40,'rank lookup'!$A$1:$A$21,'rank lookup'!$B$1:$B$21,,0)</f>
        <v>18</v>
      </c>
      <c r="E40" s="19">
        <v>183</v>
      </c>
      <c r="F40" s="19">
        <v>135</v>
      </c>
      <c r="G40" s="5">
        <f t="shared" si="0"/>
        <v>40.311744154797097</v>
      </c>
      <c r="H40" s="4">
        <f t="shared" si="1"/>
        <v>72.047244094488192</v>
      </c>
      <c r="I40">
        <f t="shared" si="2"/>
        <v>6</v>
      </c>
      <c r="J40">
        <f t="shared" si="3"/>
        <v>0</v>
      </c>
      <c r="K40" t="str">
        <f t="shared" si="4"/>
        <v>6' 0"</v>
      </c>
      <c r="L40">
        <f t="shared" si="5"/>
        <v>298</v>
      </c>
    </row>
    <row r="41" spans="1:12">
      <c r="A41" s="1" t="s">
        <v>107</v>
      </c>
      <c r="B41" s="1"/>
      <c r="C41" s="1" t="s">
        <v>151</v>
      </c>
      <c r="D41" s="1">
        <f>_xlfn.XLOOKUP(C41,'rank lookup'!$A$1:$A$21,'rank lookup'!$B$1:$B$21,,0)</f>
        <v>18</v>
      </c>
      <c r="E41" s="19">
        <v>185</v>
      </c>
      <c r="F41" s="19">
        <v>181</v>
      </c>
      <c r="G41" s="5">
        <f t="shared" si="0"/>
        <v>52.885317750182615</v>
      </c>
      <c r="H41" s="4">
        <f t="shared" si="1"/>
        <v>72.834645669291348</v>
      </c>
      <c r="I41">
        <f t="shared" si="2"/>
        <v>6</v>
      </c>
      <c r="J41">
        <f t="shared" si="3"/>
        <v>0.8</v>
      </c>
      <c r="K41" t="str">
        <f t="shared" si="4"/>
        <v>6' 0.8"</v>
      </c>
      <c r="L41">
        <f t="shared" si="5"/>
        <v>399</v>
      </c>
    </row>
    <row r="42" spans="1:12">
      <c r="A42" s="1" t="s">
        <v>126</v>
      </c>
      <c r="B42" s="1"/>
      <c r="C42" s="1" t="s">
        <v>152</v>
      </c>
      <c r="D42" s="1">
        <f>_xlfn.XLOOKUP(C42,'rank lookup'!$A$1:$A$21,'rank lookup'!$B$1:$B$21,,0)</f>
        <v>19</v>
      </c>
      <c r="E42" s="19">
        <v>169</v>
      </c>
      <c r="F42" s="19">
        <v>107</v>
      </c>
      <c r="G42" s="5">
        <f t="shared" si="0"/>
        <v>37.463674241098005</v>
      </c>
      <c r="H42" s="4">
        <f t="shared" si="1"/>
        <v>66.535433070866134</v>
      </c>
      <c r="I42">
        <f t="shared" si="2"/>
        <v>5</v>
      </c>
      <c r="J42">
        <f t="shared" si="3"/>
        <v>6.5</v>
      </c>
      <c r="K42" t="str">
        <f t="shared" si="4"/>
        <v>5' 6.5"</v>
      </c>
      <c r="L42">
        <f t="shared" si="5"/>
        <v>236</v>
      </c>
    </row>
    <row r="43" spans="1:12">
      <c r="A43" s="1" t="s">
        <v>108</v>
      </c>
      <c r="B43" s="1"/>
      <c r="C43" s="1" t="s">
        <v>152</v>
      </c>
      <c r="D43" s="1">
        <f>_xlfn.XLOOKUP(C43,'rank lookup'!$A$1:$A$21,'rank lookup'!$B$1:$B$21,,0)</f>
        <v>19</v>
      </c>
      <c r="E43" s="19">
        <v>184</v>
      </c>
      <c r="F43" s="19">
        <v>200</v>
      </c>
      <c r="G43" s="5">
        <f t="shared" si="0"/>
        <v>59.073724007561438</v>
      </c>
      <c r="H43" s="4">
        <f t="shared" si="1"/>
        <v>72.440944881889763</v>
      </c>
      <c r="I43">
        <f t="shared" si="2"/>
        <v>6</v>
      </c>
      <c r="J43">
        <f t="shared" si="3"/>
        <v>0.4</v>
      </c>
      <c r="K43" t="str">
        <f t="shared" si="4"/>
        <v>6' 0.4"</v>
      </c>
      <c r="L43">
        <f t="shared" si="5"/>
        <v>441</v>
      </c>
    </row>
    <row r="44" spans="1:12">
      <c r="A44" t="s">
        <v>155</v>
      </c>
      <c r="C44" s="1" t="s">
        <v>154</v>
      </c>
      <c r="D44" s="1">
        <f>_xlfn.XLOOKUP(C44,'rank lookup'!$A$1:$A$21,'rank lookup'!$B$1:$B$21,,0)</f>
        <v>20</v>
      </c>
      <c r="E44" s="19">
        <v>178</v>
      </c>
      <c r="F44" s="19">
        <v>135</v>
      </c>
      <c r="G44" s="5">
        <f t="shared" si="0"/>
        <v>42.608256533266008</v>
      </c>
      <c r="H44" s="4">
        <f t="shared" si="1"/>
        <v>70.078740157480311</v>
      </c>
      <c r="I44">
        <f t="shared" si="2"/>
        <v>5</v>
      </c>
      <c r="J44">
        <f t="shared" si="3"/>
        <v>10.1</v>
      </c>
      <c r="K44" t="str">
        <f t="shared" si="4"/>
        <v>5' 10.1"</v>
      </c>
      <c r="L44">
        <f t="shared" si="5"/>
        <v>298</v>
      </c>
    </row>
    <row r="45" spans="1:12">
      <c r="A45" t="s">
        <v>153</v>
      </c>
      <c r="C45" s="1" t="s">
        <v>154</v>
      </c>
      <c r="D45" s="1">
        <f>_xlfn.XLOOKUP(C45,'rank lookup'!$A$1:$A$21,'rank lookup'!$B$1:$B$21,,0)</f>
        <v>20</v>
      </c>
      <c r="E45" s="19">
        <v>190</v>
      </c>
      <c r="F45" s="19">
        <v>197</v>
      </c>
      <c r="G45" s="5">
        <f t="shared" si="0"/>
        <v>54.57063711911357</v>
      </c>
      <c r="H45" s="4">
        <f t="shared" si="1"/>
        <v>74.803149606299215</v>
      </c>
      <c r="I45">
        <f t="shared" si="2"/>
        <v>6</v>
      </c>
      <c r="J45">
        <f t="shared" si="3"/>
        <v>2.8</v>
      </c>
      <c r="K45" t="str">
        <f t="shared" si="4"/>
        <v>6' 2.8"</v>
      </c>
      <c r="L45">
        <f t="shared" si="5"/>
        <v>434</v>
      </c>
    </row>
  </sheetData>
  <autoFilter ref="A3:L38" xr:uid="{7067DD38-AD06-4250-9520-A2F29B57D9C0}">
    <sortState xmlns:xlrd2="http://schemas.microsoft.com/office/spreadsheetml/2017/richdata2" ref="A4:L45">
      <sortCondition ref="D3:D38"/>
    </sortState>
  </autoFilter>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AD93C-DC55-4D4D-B302-DCBC1ADAA0BE}">
  <dimension ref="A1:AD58"/>
  <sheetViews>
    <sheetView zoomScaleNormal="100" workbookViewId="0">
      <pane xSplit="1" ySplit="3" topLeftCell="B4" activePane="bottomRight" state="frozen"/>
      <selection pane="topRight" activeCell="B1" sqref="B1"/>
      <selection pane="bottomLeft" activeCell="A4" sqref="A4"/>
      <selection pane="bottomRight" activeCell="K57" sqref="K57"/>
    </sheetView>
  </sheetViews>
  <sheetFormatPr defaultRowHeight="14.5" outlineLevelCol="1"/>
  <cols>
    <col min="1" max="1" width="21.1796875" customWidth="1"/>
    <col min="2" max="6" width="21.1796875" hidden="1" customWidth="1" outlineLevel="1"/>
    <col min="7" max="7" width="21.1796875" customWidth="1" collapsed="1"/>
    <col min="8" max="10" width="21.1796875" customWidth="1"/>
    <col min="13" max="13" width="11.26953125" bestFit="1" customWidth="1"/>
    <col min="14" max="14" width="8.7265625" style="4"/>
    <col min="21" max="21" width="9.54296875" customWidth="1"/>
  </cols>
  <sheetData>
    <row r="1" spans="1:30">
      <c r="C1" t="s">
        <v>174</v>
      </c>
      <c r="K1" t="s">
        <v>247</v>
      </c>
    </row>
    <row r="2" spans="1:30">
      <c r="C2" s="17" t="s">
        <v>162</v>
      </c>
      <c r="D2" s="17"/>
      <c r="E2" s="17"/>
      <c r="F2" s="17"/>
      <c r="G2" s="17"/>
      <c r="H2" s="17"/>
      <c r="K2" s="17" t="s">
        <v>134</v>
      </c>
      <c r="S2">
        <f>MAX(S4:S45)</f>
        <v>41</v>
      </c>
      <c r="T2">
        <f>MAX(T4:T45)</f>
        <v>42</v>
      </c>
      <c r="U2">
        <f>MAX(U4:U45)</f>
        <v>42</v>
      </c>
    </row>
    <row r="3" spans="1:30">
      <c r="A3" t="s">
        <v>3</v>
      </c>
      <c r="B3" t="s">
        <v>11</v>
      </c>
      <c r="C3" t="s">
        <v>131</v>
      </c>
      <c r="D3" t="s">
        <v>163</v>
      </c>
      <c r="E3" t="s">
        <v>175</v>
      </c>
      <c r="F3" t="s">
        <v>185</v>
      </c>
      <c r="G3" t="s">
        <v>230</v>
      </c>
      <c r="H3" t="s">
        <v>237</v>
      </c>
      <c r="I3" t="s">
        <v>177</v>
      </c>
      <c r="J3" t="s">
        <v>238</v>
      </c>
      <c r="K3" t="s">
        <v>5</v>
      </c>
      <c r="L3" t="s">
        <v>4</v>
      </c>
      <c r="M3" t="s">
        <v>26</v>
      </c>
      <c r="N3" s="4" t="s">
        <v>6</v>
      </c>
      <c r="O3" t="s">
        <v>7</v>
      </c>
      <c r="P3" t="s">
        <v>8</v>
      </c>
      <c r="Q3" t="s">
        <v>9</v>
      </c>
      <c r="R3" t="s">
        <v>10</v>
      </c>
      <c r="S3" t="s">
        <v>171</v>
      </c>
      <c r="T3" t="s">
        <v>172</v>
      </c>
      <c r="U3" t="s">
        <v>173</v>
      </c>
      <c r="W3" t="s">
        <v>5</v>
      </c>
      <c r="X3" t="s">
        <v>4</v>
      </c>
      <c r="Y3" t="s">
        <v>26</v>
      </c>
      <c r="Z3" s="4" t="s">
        <v>6</v>
      </c>
      <c r="AA3" t="s">
        <v>7</v>
      </c>
      <c r="AB3" t="s">
        <v>8</v>
      </c>
      <c r="AC3" t="s">
        <v>9</v>
      </c>
      <c r="AD3" t="s">
        <v>10</v>
      </c>
    </row>
    <row r="4" spans="1:30">
      <c r="A4" s="1" t="s">
        <v>86</v>
      </c>
      <c r="B4" s="1">
        <v>8</v>
      </c>
      <c r="C4" s="1" t="s">
        <v>14</v>
      </c>
      <c r="D4" s="1" t="s">
        <v>14</v>
      </c>
      <c r="E4" s="1" t="s">
        <v>14</v>
      </c>
      <c r="F4" s="1" t="s">
        <v>14</v>
      </c>
      <c r="G4" s="1" t="s">
        <v>14</v>
      </c>
      <c r="H4" s="1" t="s">
        <v>14</v>
      </c>
      <c r="I4" s="1">
        <f>_xlfn.XLOOKUP(H4,'rank lookup'!$A$1:$A$21,'rank lookup'!$B$1:$B$21,,0)</f>
        <v>1</v>
      </c>
      <c r="J4" s="1"/>
      <c r="K4" s="26">
        <v>192</v>
      </c>
      <c r="L4" s="26">
        <v>174</v>
      </c>
      <c r="M4" s="5">
        <f t="shared" ref="M4:M35" si="0">L4/(K4*K4)*10000</f>
        <v>47.200520833333329</v>
      </c>
      <c r="N4" s="4">
        <f t="shared" ref="N4:N35" si="1">CONVERT(K4,"cm","in")</f>
        <v>75.59055118110237</v>
      </c>
      <c r="O4">
        <f t="shared" ref="O4:O35" si="2">_xlfn.FLOOR.MATH(N4/12)</f>
        <v>6</v>
      </c>
      <c r="P4">
        <f t="shared" ref="P4:P35" si="3">ROUND(N4-O4*12,1)</f>
        <v>3.6</v>
      </c>
      <c r="Q4" t="str">
        <f t="shared" ref="Q4:Q35" si="4">O4&amp;"' "&amp;P4&amp;""""</f>
        <v>6' 3.6"</v>
      </c>
      <c r="R4">
        <f t="shared" ref="R4:R35" si="5">ROUND(CONVERT(L4,"kg","lbm"),0)</f>
        <v>384</v>
      </c>
      <c r="S4">
        <f>_xlfn.RANK.EQ(K4,K$4:K$45)</f>
        <v>3</v>
      </c>
      <c r="T4">
        <f>_xlfn.RANK.EQ(L4,L$4:L$45)</f>
        <v>11</v>
      </c>
      <c r="U4">
        <f>_xlfn.RANK.EQ(M4,M$4:M$45)</f>
        <v>22</v>
      </c>
      <c r="W4">
        <f>K22-K16</f>
        <v>33</v>
      </c>
      <c r="X4">
        <f t="shared" ref="X4:Z4" si="6">L22-L16</f>
        <v>69</v>
      </c>
      <c r="Y4">
        <f t="shared" si="6"/>
        <v>4.7837302200103196</v>
      </c>
      <c r="Z4">
        <f t="shared" si="6"/>
        <v>12.99212598425197</v>
      </c>
      <c r="AA4">
        <f t="shared" ref="AA4" si="7">O22-O16</f>
        <v>1</v>
      </c>
      <c r="AB4">
        <f t="shared" ref="AB4" si="8">P22-P16</f>
        <v>1.0000000000000009</v>
      </c>
      <c r="AC4" t="e">
        <f t="shared" ref="AC4" si="9">Q22-Q16</f>
        <v>#VALUE!</v>
      </c>
      <c r="AD4">
        <f t="shared" ref="AD4" si="10">R22-R16</f>
        <v>152</v>
      </c>
    </row>
    <row r="5" spans="1:30">
      <c r="A5" s="1" t="s">
        <v>123</v>
      </c>
      <c r="B5" s="1">
        <v>2</v>
      </c>
      <c r="C5" s="1" t="s">
        <v>39</v>
      </c>
      <c r="D5" s="1" t="s">
        <v>39</v>
      </c>
      <c r="E5" s="1" t="s">
        <v>39</v>
      </c>
      <c r="F5" s="1" t="s">
        <v>39</v>
      </c>
      <c r="G5" s="1" t="s">
        <v>39</v>
      </c>
      <c r="H5" s="1" t="s">
        <v>39</v>
      </c>
      <c r="I5" s="1">
        <f>_xlfn.XLOOKUP(H5,'rank lookup'!$A$1:$A$21,'rank lookup'!$B$1:$B$21,,0)</f>
        <v>2</v>
      </c>
      <c r="J5" s="1"/>
      <c r="K5" s="26">
        <v>175</v>
      </c>
      <c r="L5" s="26">
        <v>165</v>
      </c>
      <c r="M5" s="5">
        <f t="shared" si="0"/>
        <v>53.877551020408163</v>
      </c>
      <c r="N5" s="4">
        <f t="shared" si="1"/>
        <v>68.897637795275585</v>
      </c>
      <c r="O5">
        <f t="shared" si="2"/>
        <v>5</v>
      </c>
      <c r="P5">
        <f t="shared" si="3"/>
        <v>8.9</v>
      </c>
      <c r="Q5" t="str">
        <f t="shared" si="4"/>
        <v>5' 8.9"</v>
      </c>
      <c r="R5">
        <f t="shared" si="5"/>
        <v>364</v>
      </c>
      <c r="S5">
        <f t="shared" ref="S5:U45" si="11">_xlfn.RANK.EQ(K5,K$4:K$45)</f>
        <v>38</v>
      </c>
      <c r="T5">
        <f t="shared" si="11"/>
        <v>18</v>
      </c>
      <c r="U5">
        <f t="shared" si="11"/>
        <v>4</v>
      </c>
    </row>
    <row r="6" spans="1:30" ht="25">
      <c r="A6" s="1" t="s">
        <v>239</v>
      </c>
      <c r="B6" s="1"/>
      <c r="C6" s="1" t="s">
        <v>42</v>
      </c>
      <c r="D6" s="1" t="s">
        <v>42</v>
      </c>
      <c r="E6" s="1" t="s">
        <v>42</v>
      </c>
      <c r="F6" s="1" t="s">
        <v>31</v>
      </c>
      <c r="G6" s="1" t="s">
        <v>31</v>
      </c>
      <c r="H6" s="1" t="s">
        <v>39</v>
      </c>
      <c r="I6" s="1">
        <f>_xlfn.XLOOKUP(H6,'rank lookup'!$A$1:$A$21,'rank lookup'!$B$1:$B$21,,0)</f>
        <v>2</v>
      </c>
      <c r="J6" s="1" t="s">
        <v>240</v>
      </c>
      <c r="K6" s="26">
        <v>186</v>
      </c>
      <c r="L6" s="26">
        <v>143</v>
      </c>
      <c r="M6" s="5">
        <f t="shared" si="0"/>
        <v>41.334258295756733</v>
      </c>
      <c r="N6" s="4">
        <f t="shared" si="1"/>
        <v>73.228346456692918</v>
      </c>
      <c r="O6">
        <f t="shared" si="2"/>
        <v>6</v>
      </c>
      <c r="P6">
        <f t="shared" si="3"/>
        <v>1.2</v>
      </c>
      <c r="Q6" t="str">
        <f t="shared" si="4"/>
        <v>6' 1.2"</v>
      </c>
      <c r="R6">
        <f t="shared" si="5"/>
        <v>315</v>
      </c>
      <c r="S6">
        <f t="shared" si="11"/>
        <v>16</v>
      </c>
      <c r="T6">
        <f t="shared" si="11"/>
        <v>33</v>
      </c>
      <c r="U6">
        <f t="shared" si="11"/>
        <v>38</v>
      </c>
    </row>
    <row r="7" spans="1:30">
      <c r="A7" s="1" t="s">
        <v>95</v>
      </c>
      <c r="B7" s="1"/>
      <c r="C7" s="1" t="s">
        <v>31</v>
      </c>
      <c r="D7" s="1" t="s">
        <v>31</v>
      </c>
      <c r="E7" s="1" t="s">
        <v>31</v>
      </c>
      <c r="F7" s="1" t="s">
        <v>31</v>
      </c>
      <c r="G7" s="1" t="s">
        <v>31</v>
      </c>
      <c r="H7" s="1" t="s">
        <v>31</v>
      </c>
      <c r="I7" s="1">
        <f>_xlfn.XLOOKUP(H7,'rank lookup'!$A$1:$A$21,'rank lookup'!$B$1:$B$21,,0)</f>
        <v>3</v>
      </c>
      <c r="J7" s="1"/>
      <c r="K7" s="26">
        <v>188</v>
      </c>
      <c r="L7" s="26">
        <v>142</v>
      </c>
      <c r="M7" s="5">
        <f t="shared" si="0"/>
        <v>40.176550475328199</v>
      </c>
      <c r="N7" s="4">
        <f t="shared" si="1"/>
        <v>74.015748031496059</v>
      </c>
      <c r="O7">
        <f t="shared" si="2"/>
        <v>6</v>
      </c>
      <c r="P7">
        <f t="shared" si="3"/>
        <v>2</v>
      </c>
      <c r="Q7" t="str">
        <f t="shared" si="4"/>
        <v>6' 2"</v>
      </c>
      <c r="R7">
        <f t="shared" si="5"/>
        <v>313</v>
      </c>
      <c r="S7">
        <f t="shared" si="11"/>
        <v>11</v>
      </c>
      <c r="T7">
        <f t="shared" si="11"/>
        <v>35</v>
      </c>
      <c r="U7">
        <f t="shared" si="11"/>
        <v>40</v>
      </c>
    </row>
    <row r="8" spans="1:30">
      <c r="A8" s="1" t="s">
        <v>100</v>
      </c>
      <c r="B8" s="1"/>
      <c r="C8" s="1" t="s">
        <v>141</v>
      </c>
      <c r="D8" s="1" t="s">
        <v>139</v>
      </c>
      <c r="E8" s="1" t="s">
        <v>42</v>
      </c>
      <c r="F8" s="1" t="s">
        <v>42</v>
      </c>
      <c r="G8" s="1" t="s">
        <v>31</v>
      </c>
      <c r="H8" s="1" t="s">
        <v>31</v>
      </c>
      <c r="I8" s="1">
        <f>_xlfn.XLOOKUP(H8,'rank lookup'!$A$1:$A$21,'rank lookup'!$B$1:$B$21,,0)</f>
        <v>3</v>
      </c>
      <c r="J8" s="1"/>
      <c r="K8" s="26">
        <v>187</v>
      </c>
      <c r="L8" s="26">
        <v>147</v>
      </c>
      <c r="M8" s="5">
        <f t="shared" si="0"/>
        <v>42.03723297778032</v>
      </c>
      <c r="N8" s="4">
        <f t="shared" si="1"/>
        <v>73.622047244094489</v>
      </c>
      <c r="O8">
        <f t="shared" si="2"/>
        <v>6</v>
      </c>
      <c r="P8">
        <f t="shared" si="3"/>
        <v>1.6</v>
      </c>
      <c r="Q8" t="str">
        <f t="shared" si="4"/>
        <v>6' 1.6"</v>
      </c>
      <c r="R8">
        <f t="shared" si="5"/>
        <v>324</v>
      </c>
      <c r="S8">
        <f t="shared" si="11"/>
        <v>15</v>
      </c>
      <c r="T8">
        <f t="shared" si="11"/>
        <v>32</v>
      </c>
      <c r="U8">
        <f t="shared" si="11"/>
        <v>37</v>
      </c>
    </row>
    <row r="9" spans="1:30">
      <c r="A9" s="1" t="s">
        <v>112</v>
      </c>
      <c r="B9" s="1">
        <v>1</v>
      </c>
      <c r="C9" s="1" t="s">
        <v>31</v>
      </c>
      <c r="D9" s="1" t="s">
        <v>42</v>
      </c>
      <c r="E9" s="1" t="s">
        <v>132</v>
      </c>
      <c r="F9" s="1" t="s">
        <v>42</v>
      </c>
      <c r="G9" s="1" t="s">
        <v>31</v>
      </c>
      <c r="H9" s="1" t="s">
        <v>31</v>
      </c>
      <c r="I9" s="1">
        <f>_xlfn.XLOOKUP(H9,'rank lookup'!$A$1:$A$21,'rank lookup'!$B$1:$B$21,,0)</f>
        <v>3</v>
      </c>
      <c r="J9" s="1"/>
      <c r="K9" s="26">
        <v>182</v>
      </c>
      <c r="L9" s="26">
        <v>164</v>
      </c>
      <c r="M9" s="5">
        <f t="shared" si="0"/>
        <v>49.510928631807751</v>
      </c>
      <c r="N9" s="4">
        <f t="shared" si="1"/>
        <v>71.653543307086608</v>
      </c>
      <c r="O9">
        <f t="shared" si="2"/>
        <v>5</v>
      </c>
      <c r="P9">
        <f t="shared" si="3"/>
        <v>11.7</v>
      </c>
      <c r="Q9" t="str">
        <f t="shared" si="4"/>
        <v>5' 11.7"</v>
      </c>
      <c r="R9">
        <f t="shared" si="5"/>
        <v>362</v>
      </c>
      <c r="S9">
        <f t="shared" si="11"/>
        <v>28</v>
      </c>
      <c r="T9">
        <f t="shared" si="11"/>
        <v>20</v>
      </c>
      <c r="U9">
        <f t="shared" si="11"/>
        <v>13</v>
      </c>
    </row>
    <row r="10" spans="1:30">
      <c r="A10" s="1" t="s">
        <v>94</v>
      </c>
      <c r="B10" s="1"/>
      <c r="C10" s="1" t="s">
        <v>136</v>
      </c>
      <c r="D10" s="1" t="s">
        <v>132</v>
      </c>
      <c r="E10" s="1" t="s">
        <v>42</v>
      </c>
      <c r="F10" s="1" t="s">
        <v>42</v>
      </c>
      <c r="G10" s="1" t="s">
        <v>42</v>
      </c>
      <c r="H10" s="1" t="s">
        <v>42</v>
      </c>
      <c r="I10" s="1">
        <f>_xlfn.XLOOKUP(H10,'rank lookup'!$A$1:$A$21,'rank lookup'!$B$1:$B$21,,0)</f>
        <v>4</v>
      </c>
      <c r="J10" s="1"/>
      <c r="K10" s="26">
        <v>189</v>
      </c>
      <c r="L10" s="26">
        <v>176</v>
      </c>
      <c r="M10" s="5">
        <f t="shared" si="0"/>
        <v>49.270737101424935</v>
      </c>
      <c r="N10" s="4">
        <f t="shared" si="1"/>
        <v>74.409448818897644</v>
      </c>
      <c r="O10">
        <f t="shared" si="2"/>
        <v>6</v>
      </c>
      <c r="P10">
        <f t="shared" si="3"/>
        <v>2.4</v>
      </c>
      <c r="Q10" t="str">
        <f t="shared" si="4"/>
        <v>6' 2.4"</v>
      </c>
      <c r="R10">
        <f t="shared" si="5"/>
        <v>388</v>
      </c>
      <c r="S10">
        <f t="shared" si="11"/>
        <v>8</v>
      </c>
      <c r="T10">
        <f t="shared" si="11"/>
        <v>10</v>
      </c>
      <c r="U10">
        <f t="shared" si="11"/>
        <v>16</v>
      </c>
    </row>
    <row r="11" spans="1:30">
      <c r="A11" s="1" t="s">
        <v>93</v>
      </c>
      <c r="B11" s="1">
        <v>1</v>
      </c>
      <c r="C11" s="1" t="s">
        <v>42</v>
      </c>
      <c r="D11" s="1" t="s">
        <v>143</v>
      </c>
      <c r="E11" s="1" t="s">
        <v>137</v>
      </c>
      <c r="F11" s="1" t="s">
        <v>136</v>
      </c>
      <c r="G11" s="1" t="s">
        <v>132</v>
      </c>
      <c r="H11" s="1" t="s">
        <v>42</v>
      </c>
      <c r="I11" s="1">
        <f>_xlfn.XLOOKUP(H11,'rank lookup'!$A$1:$A$21,'rank lookup'!$B$1:$B$21,,0)</f>
        <v>4</v>
      </c>
      <c r="J11" s="1"/>
      <c r="K11" s="26">
        <v>186</v>
      </c>
      <c r="L11" s="26">
        <v>158</v>
      </c>
      <c r="M11" s="5">
        <f t="shared" si="0"/>
        <v>45.670019655451505</v>
      </c>
      <c r="N11" s="4">
        <f t="shared" si="1"/>
        <v>73.228346456692918</v>
      </c>
      <c r="O11">
        <f t="shared" si="2"/>
        <v>6</v>
      </c>
      <c r="P11">
        <f t="shared" si="3"/>
        <v>1.2</v>
      </c>
      <c r="Q11" t="str">
        <f t="shared" si="4"/>
        <v>6' 1.2"</v>
      </c>
      <c r="R11">
        <f t="shared" si="5"/>
        <v>348</v>
      </c>
      <c r="S11">
        <f t="shared" si="11"/>
        <v>16</v>
      </c>
      <c r="T11">
        <f t="shared" si="11"/>
        <v>24</v>
      </c>
      <c r="U11">
        <f t="shared" si="11"/>
        <v>26</v>
      </c>
    </row>
    <row r="12" spans="1:30">
      <c r="A12" s="1" t="s">
        <v>124</v>
      </c>
      <c r="B12" s="1"/>
      <c r="C12" s="1" t="s">
        <v>132</v>
      </c>
      <c r="D12" s="1" t="s">
        <v>42</v>
      </c>
      <c r="E12" s="1" t="s">
        <v>132</v>
      </c>
      <c r="F12" s="1" t="s">
        <v>42</v>
      </c>
      <c r="G12" s="1" t="s">
        <v>137</v>
      </c>
      <c r="H12" s="1" t="s">
        <v>132</v>
      </c>
      <c r="I12" s="1">
        <f>_xlfn.XLOOKUP(H12,'rank lookup'!$A$1:$A$21,'rank lookup'!$B$1:$B$21,,0)</f>
        <v>5</v>
      </c>
      <c r="J12" s="1"/>
      <c r="K12" s="26">
        <v>174</v>
      </c>
      <c r="L12" s="26">
        <v>135</v>
      </c>
      <c r="M12" s="5">
        <f t="shared" si="0"/>
        <v>44.589774078478001</v>
      </c>
      <c r="N12" s="4">
        <f t="shared" si="1"/>
        <v>68.503937007874015</v>
      </c>
      <c r="O12">
        <f t="shared" si="2"/>
        <v>5</v>
      </c>
      <c r="P12">
        <f t="shared" si="3"/>
        <v>8.5</v>
      </c>
      <c r="Q12" t="str">
        <f t="shared" si="4"/>
        <v>5' 8.5"</v>
      </c>
      <c r="R12">
        <f t="shared" si="5"/>
        <v>298</v>
      </c>
      <c r="S12">
        <f t="shared" si="11"/>
        <v>40</v>
      </c>
      <c r="T12">
        <f t="shared" si="11"/>
        <v>38</v>
      </c>
      <c r="U12">
        <f t="shared" si="11"/>
        <v>27</v>
      </c>
    </row>
    <row r="13" spans="1:30">
      <c r="A13" s="1" t="s">
        <v>138</v>
      </c>
      <c r="C13" s="1" t="s">
        <v>139</v>
      </c>
      <c r="D13" s="1" t="s">
        <v>141</v>
      </c>
      <c r="E13" s="1" t="s">
        <v>140</v>
      </c>
      <c r="F13" s="1" t="s">
        <v>137</v>
      </c>
      <c r="G13" s="1" t="s">
        <v>139</v>
      </c>
      <c r="H13" s="1" t="s">
        <v>132</v>
      </c>
      <c r="I13" s="1">
        <f>_xlfn.XLOOKUP(H13,'rank lookup'!$A$1:$A$21,'rank lookup'!$B$1:$B$21,,0)</f>
        <v>5</v>
      </c>
      <c r="J13" s="1"/>
      <c r="K13" s="26">
        <v>185</v>
      </c>
      <c r="L13" s="26">
        <v>180</v>
      </c>
      <c r="M13" s="5">
        <f t="shared" si="0"/>
        <v>52.593133674214762</v>
      </c>
      <c r="N13" s="4">
        <f t="shared" si="1"/>
        <v>72.834645669291348</v>
      </c>
      <c r="O13">
        <f t="shared" si="2"/>
        <v>6</v>
      </c>
      <c r="P13">
        <f t="shared" si="3"/>
        <v>0.8</v>
      </c>
      <c r="Q13" t="str">
        <f t="shared" si="4"/>
        <v>6' 0.8"</v>
      </c>
      <c r="R13">
        <f t="shared" si="5"/>
        <v>397</v>
      </c>
      <c r="S13">
        <f t="shared" si="11"/>
        <v>19</v>
      </c>
      <c r="T13">
        <f t="shared" si="11"/>
        <v>8</v>
      </c>
      <c r="U13">
        <f t="shared" si="11"/>
        <v>7</v>
      </c>
    </row>
    <row r="14" spans="1:30">
      <c r="A14" s="1" t="s">
        <v>109</v>
      </c>
      <c r="B14" s="1">
        <v>1</v>
      </c>
      <c r="C14" s="1" t="s">
        <v>39</v>
      </c>
      <c r="D14" s="1" t="s">
        <v>39</v>
      </c>
      <c r="E14" s="1" t="s">
        <v>31</v>
      </c>
      <c r="F14" s="1" t="s">
        <v>132</v>
      </c>
      <c r="G14" s="1" t="s">
        <v>42</v>
      </c>
      <c r="H14" s="1" t="s">
        <v>136</v>
      </c>
      <c r="I14" s="1">
        <f>_xlfn.XLOOKUP(H14,'rank lookup'!$A$1:$A$21,'rank lookup'!$B$1:$B$21,,0)</f>
        <v>6</v>
      </c>
      <c r="J14" s="1"/>
      <c r="K14" s="26">
        <v>184</v>
      </c>
      <c r="L14" s="26">
        <v>161</v>
      </c>
      <c r="M14" s="5">
        <f t="shared" si="0"/>
        <v>47.554347826086961</v>
      </c>
      <c r="N14" s="4">
        <f t="shared" si="1"/>
        <v>72.440944881889763</v>
      </c>
      <c r="O14">
        <f t="shared" si="2"/>
        <v>6</v>
      </c>
      <c r="P14">
        <f t="shared" si="3"/>
        <v>0.4</v>
      </c>
      <c r="Q14" t="str">
        <f t="shared" si="4"/>
        <v>6' 0.4"</v>
      </c>
      <c r="R14">
        <f t="shared" si="5"/>
        <v>355</v>
      </c>
      <c r="S14">
        <f t="shared" si="11"/>
        <v>22</v>
      </c>
      <c r="T14">
        <f t="shared" si="11"/>
        <v>22</v>
      </c>
      <c r="U14">
        <f t="shared" si="11"/>
        <v>20</v>
      </c>
    </row>
    <row r="15" spans="1:30">
      <c r="A15" s="1" t="s">
        <v>116</v>
      </c>
      <c r="B15" s="1">
        <v>2</v>
      </c>
      <c r="C15" s="1" t="s">
        <v>39</v>
      </c>
      <c r="D15" s="1" t="s">
        <v>31</v>
      </c>
      <c r="E15" s="1" t="s">
        <v>136</v>
      </c>
      <c r="F15" s="1" t="s">
        <v>137</v>
      </c>
      <c r="G15" s="1" t="s">
        <v>141</v>
      </c>
      <c r="H15" s="1" t="s">
        <v>136</v>
      </c>
      <c r="I15" s="1">
        <f>_xlfn.XLOOKUP(H15,'rank lookup'!$A$1:$A$21,'rank lookup'!$B$1:$B$21,,0)</f>
        <v>6</v>
      </c>
      <c r="J15" s="1"/>
      <c r="K15" s="26">
        <v>179</v>
      </c>
      <c r="L15" s="26">
        <v>170</v>
      </c>
      <c r="M15" s="5">
        <f t="shared" si="0"/>
        <v>53.057020692238069</v>
      </c>
      <c r="N15" s="4">
        <f t="shared" si="1"/>
        <v>70.472440944881896</v>
      </c>
      <c r="O15">
        <f t="shared" si="2"/>
        <v>5</v>
      </c>
      <c r="P15">
        <f t="shared" si="3"/>
        <v>10.5</v>
      </c>
      <c r="Q15" t="str">
        <f t="shared" si="4"/>
        <v>5' 10.5"</v>
      </c>
      <c r="R15">
        <f t="shared" si="5"/>
        <v>375</v>
      </c>
      <c r="S15">
        <f t="shared" si="11"/>
        <v>33</v>
      </c>
      <c r="T15">
        <f t="shared" si="11"/>
        <v>15</v>
      </c>
      <c r="U15">
        <f t="shared" si="11"/>
        <v>5</v>
      </c>
    </row>
    <row r="16" spans="1:30">
      <c r="A16" s="1" t="s">
        <v>133</v>
      </c>
      <c r="C16" t="s">
        <v>132</v>
      </c>
      <c r="D16" s="1" t="s">
        <v>137</v>
      </c>
      <c r="E16" s="1" t="s">
        <v>137</v>
      </c>
      <c r="F16" s="1" t="s">
        <v>140</v>
      </c>
      <c r="G16" s="1" t="s">
        <v>132</v>
      </c>
      <c r="H16" s="1" t="s">
        <v>137</v>
      </c>
      <c r="I16" s="1">
        <f>_xlfn.XLOOKUP(H16,'rank lookup'!$A$1:$A$21,'rank lookup'!$B$1:$B$21,,0)</f>
        <v>7</v>
      </c>
      <c r="J16" s="1"/>
      <c r="K16" s="23">
        <v>171</v>
      </c>
      <c r="L16" s="23">
        <v>116</v>
      </c>
      <c r="M16" s="5">
        <f t="shared" si="0"/>
        <v>39.670325912246504</v>
      </c>
      <c r="N16" s="4">
        <f t="shared" si="1"/>
        <v>67.322834645669289</v>
      </c>
      <c r="O16">
        <f t="shared" si="2"/>
        <v>5</v>
      </c>
      <c r="P16">
        <f t="shared" si="3"/>
        <v>7.3</v>
      </c>
      <c r="Q16" t="str">
        <f t="shared" si="4"/>
        <v>5' 7.3"</v>
      </c>
      <c r="R16">
        <f t="shared" si="5"/>
        <v>256</v>
      </c>
      <c r="S16">
        <f t="shared" si="11"/>
        <v>41</v>
      </c>
      <c r="T16">
        <f t="shared" si="11"/>
        <v>42</v>
      </c>
      <c r="U16">
        <f t="shared" si="11"/>
        <v>42</v>
      </c>
    </row>
    <row r="17" spans="1:21">
      <c r="A17" s="1" t="s">
        <v>117</v>
      </c>
      <c r="B17" s="1"/>
      <c r="C17" s="1" t="s">
        <v>136</v>
      </c>
      <c r="D17" s="1" t="s">
        <v>136</v>
      </c>
      <c r="E17" s="1" t="s">
        <v>42</v>
      </c>
      <c r="F17" s="1" t="s">
        <v>139</v>
      </c>
      <c r="G17" s="1" t="s">
        <v>141</v>
      </c>
      <c r="H17" s="1" t="s">
        <v>137</v>
      </c>
      <c r="I17" s="1">
        <f>_xlfn.XLOOKUP(H17,'rank lookup'!$A$1:$A$21,'rank lookup'!$B$1:$B$21,,0)</f>
        <v>7</v>
      </c>
      <c r="J17" s="1"/>
      <c r="K17" s="23">
        <v>180</v>
      </c>
      <c r="L17" s="23">
        <v>154</v>
      </c>
      <c r="M17" s="5">
        <f t="shared" si="0"/>
        <v>47.530864197530867</v>
      </c>
      <c r="N17" s="4">
        <f t="shared" si="1"/>
        <v>70.866141732283467</v>
      </c>
      <c r="O17">
        <f t="shared" si="2"/>
        <v>5</v>
      </c>
      <c r="P17">
        <f t="shared" si="3"/>
        <v>10.9</v>
      </c>
      <c r="Q17" t="str">
        <f t="shared" si="4"/>
        <v>5' 10.9"</v>
      </c>
      <c r="R17">
        <f t="shared" si="5"/>
        <v>340</v>
      </c>
      <c r="S17">
        <f t="shared" si="11"/>
        <v>32</v>
      </c>
      <c r="T17">
        <f t="shared" si="11"/>
        <v>28</v>
      </c>
      <c r="U17">
        <f t="shared" si="11"/>
        <v>21</v>
      </c>
    </row>
    <row r="18" spans="1:21">
      <c r="A18" s="1" t="s">
        <v>121</v>
      </c>
      <c r="B18" s="1"/>
      <c r="C18" s="1" t="s">
        <v>137</v>
      </c>
      <c r="D18" s="1" t="s">
        <v>137</v>
      </c>
      <c r="E18" s="1" t="s">
        <v>135</v>
      </c>
      <c r="F18" s="1" t="s">
        <v>142</v>
      </c>
      <c r="G18" s="1" t="s">
        <v>139</v>
      </c>
      <c r="H18" s="1" t="s">
        <v>139</v>
      </c>
      <c r="I18" s="1">
        <f>_xlfn.XLOOKUP(H18,'rank lookup'!$A$1:$A$21,'rank lookup'!$B$1:$B$21,,0)</f>
        <v>8</v>
      </c>
      <c r="J18" s="1"/>
      <c r="K18" s="23">
        <v>175</v>
      </c>
      <c r="L18" s="23">
        <v>143</v>
      </c>
      <c r="M18" s="5">
        <f t="shared" si="0"/>
        <v>46.693877551020407</v>
      </c>
      <c r="N18" s="4">
        <f t="shared" si="1"/>
        <v>68.897637795275585</v>
      </c>
      <c r="O18">
        <f t="shared" si="2"/>
        <v>5</v>
      </c>
      <c r="P18">
        <f t="shared" si="3"/>
        <v>8.9</v>
      </c>
      <c r="Q18" t="str">
        <f t="shared" si="4"/>
        <v>5' 8.9"</v>
      </c>
      <c r="R18">
        <f t="shared" si="5"/>
        <v>315</v>
      </c>
      <c r="S18">
        <f t="shared" si="11"/>
        <v>38</v>
      </c>
      <c r="T18">
        <f t="shared" si="11"/>
        <v>33</v>
      </c>
      <c r="U18">
        <f t="shared" si="11"/>
        <v>24</v>
      </c>
    </row>
    <row r="19" spans="1:21">
      <c r="A19" s="1" t="s">
        <v>231</v>
      </c>
      <c r="G19" t="s">
        <v>151</v>
      </c>
      <c r="H19" t="s">
        <v>139</v>
      </c>
      <c r="I19" s="1">
        <f>_xlfn.XLOOKUP(H19,'rank lookup'!$A$1:$A$21,'rank lookup'!$B$1:$B$21,,0)</f>
        <v>8</v>
      </c>
      <c r="K19" s="23">
        <v>189</v>
      </c>
      <c r="L19" s="23">
        <v>168</v>
      </c>
      <c r="M19" s="5">
        <f t="shared" si="0"/>
        <v>47.031158142269256</v>
      </c>
      <c r="N19" s="4">
        <f t="shared" si="1"/>
        <v>74.409448818897644</v>
      </c>
      <c r="O19">
        <f t="shared" si="2"/>
        <v>6</v>
      </c>
      <c r="P19">
        <f t="shared" si="3"/>
        <v>2.4</v>
      </c>
      <c r="Q19" t="str">
        <f t="shared" si="4"/>
        <v>6' 2.4"</v>
      </c>
      <c r="R19">
        <f t="shared" si="5"/>
        <v>370</v>
      </c>
      <c r="S19">
        <f t="shared" si="11"/>
        <v>8</v>
      </c>
      <c r="T19">
        <f t="shared" si="11"/>
        <v>17</v>
      </c>
      <c r="U19">
        <f t="shared" si="11"/>
        <v>23</v>
      </c>
    </row>
    <row r="20" spans="1:21">
      <c r="A20" s="1" t="s">
        <v>120</v>
      </c>
      <c r="B20" s="1"/>
      <c r="C20" s="1" t="s">
        <v>135</v>
      </c>
      <c r="D20" s="1" t="s">
        <v>147</v>
      </c>
      <c r="E20" s="1" t="s">
        <v>142</v>
      </c>
      <c r="F20" s="1" t="s">
        <v>139</v>
      </c>
      <c r="G20" s="1" t="s">
        <v>143</v>
      </c>
      <c r="H20" s="1" t="s">
        <v>140</v>
      </c>
      <c r="I20" s="1">
        <f>_xlfn.XLOOKUP(H20,'rank lookup'!$A$1:$A$21,'rank lookup'!$B$1:$B$21,,0)</f>
        <v>9</v>
      </c>
      <c r="J20" s="1"/>
      <c r="K20" s="23">
        <v>177</v>
      </c>
      <c r="L20" s="23">
        <v>165</v>
      </c>
      <c r="M20" s="5">
        <f t="shared" si="0"/>
        <v>52.666858182514609</v>
      </c>
      <c r="N20" s="4">
        <f t="shared" si="1"/>
        <v>69.685039370078741</v>
      </c>
      <c r="O20">
        <f t="shared" si="2"/>
        <v>5</v>
      </c>
      <c r="P20">
        <f t="shared" si="3"/>
        <v>9.6999999999999993</v>
      </c>
      <c r="Q20" t="str">
        <f t="shared" si="4"/>
        <v>5' 9.7"</v>
      </c>
      <c r="R20">
        <f t="shared" si="5"/>
        <v>364</v>
      </c>
      <c r="S20">
        <f t="shared" si="11"/>
        <v>34</v>
      </c>
      <c r="T20">
        <f t="shared" si="11"/>
        <v>18</v>
      </c>
      <c r="U20">
        <f t="shared" si="11"/>
        <v>6</v>
      </c>
    </row>
    <row r="21" spans="1:21">
      <c r="A21" t="s">
        <v>155</v>
      </c>
      <c r="C21" s="1" t="s">
        <v>154</v>
      </c>
      <c r="D21" s="1" t="s">
        <v>154</v>
      </c>
      <c r="E21" s="1" t="s">
        <v>145</v>
      </c>
      <c r="F21" s="1" t="s">
        <v>143</v>
      </c>
      <c r="G21" s="1" t="s">
        <v>143</v>
      </c>
      <c r="H21" s="1" t="s">
        <v>140</v>
      </c>
      <c r="I21" s="1">
        <f>_xlfn.XLOOKUP(H21,'rank lookup'!$A$1:$A$21,'rank lookup'!$B$1:$B$21,,0)</f>
        <v>9</v>
      </c>
      <c r="J21" s="1"/>
      <c r="K21" s="23">
        <v>177</v>
      </c>
      <c r="L21" s="23">
        <v>135</v>
      </c>
      <c r="M21" s="5">
        <f t="shared" si="0"/>
        <v>43.091065785693765</v>
      </c>
      <c r="N21" s="4">
        <f t="shared" si="1"/>
        <v>69.685039370078741</v>
      </c>
      <c r="O21">
        <f t="shared" si="2"/>
        <v>5</v>
      </c>
      <c r="P21">
        <f t="shared" si="3"/>
        <v>9.6999999999999993</v>
      </c>
      <c r="Q21" t="str">
        <f t="shared" si="4"/>
        <v>5' 9.7"</v>
      </c>
      <c r="R21">
        <f t="shared" si="5"/>
        <v>298</v>
      </c>
      <c r="S21">
        <f t="shared" si="11"/>
        <v>34</v>
      </c>
      <c r="T21">
        <f t="shared" si="11"/>
        <v>38</v>
      </c>
      <c r="U21">
        <f t="shared" si="11"/>
        <v>34</v>
      </c>
    </row>
    <row r="22" spans="1:21">
      <c r="A22" s="1" t="s">
        <v>191</v>
      </c>
      <c r="F22" t="s">
        <v>152</v>
      </c>
      <c r="G22" t="s">
        <v>147</v>
      </c>
      <c r="H22" t="s">
        <v>141</v>
      </c>
      <c r="I22" s="1">
        <f>_xlfn.XLOOKUP(H22,'rank lookup'!$A$1:$A$21,'rank lookup'!$B$1:$B$21,,0)</f>
        <v>10</v>
      </c>
      <c r="J22" s="1"/>
      <c r="K22" s="23">
        <v>204</v>
      </c>
      <c r="L22" s="23">
        <v>185</v>
      </c>
      <c r="M22" s="5">
        <f t="shared" si="0"/>
        <v>44.454056132256824</v>
      </c>
      <c r="N22" s="4">
        <f t="shared" si="1"/>
        <v>80.314960629921259</v>
      </c>
      <c r="O22">
        <f t="shared" si="2"/>
        <v>6</v>
      </c>
      <c r="P22">
        <f t="shared" si="3"/>
        <v>8.3000000000000007</v>
      </c>
      <c r="Q22" t="str">
        <f t="shared" si="4"/>
        <v>6' 8.3"</v>
      </c>
      <c r="R22">
        <f t="shared" si="5"/>
        <v>408</v>
      </c>
      <c r="S22">
        <f t="shared" si="11"/>
        <v>1</v>
      </c>
      <c r="T22">
        <f t="shared" si="11"/>
        <v>5</v>
      </c>
      <c r="U22">
        <f t="shared" si="11"/>
        <v>28</v>
      </c>
    </row>
    <row r="23" spans="1:21">
      <c r="A23" s="1" t="s">
        <v>88</v>
      </c>
      <c r="B23" s="1"/>
      <c r="C23" s="1" t="s">
        <v>150</v>
      </c>
      <c r="D23" s="1" t="s">
        <v>150</v>
      </c>
      <c r="E23" s="1" t="s">
        <v>142</v>
      </c>
      <c r="F23" s="1" t="s">
        <v>152</v>
      </c>
      <c r="G23" s="1" t="s">
        <v>154</v>
      </c>
      <c r="H23" s="1" t="s">
        <v>141</v>
      </c>
      <c r="I23" s="1">
        <f>_xlfn.XLOOKUP(H23,'rank lookup'!$A$1:$A$21,'rank lookup'!$B$1:$B$21,,0)</f>
        <v>10</v>
      </c>
      <c r="J23" s="1"/>
      <c r="K23" s="23">
        <v>190</v>
      </c>
      <c r="L23" s="23">
        <v>179</v>
      </c>
      <c r="M23" s="5">
        <f t="shared" si="0"/>
        <v>49.584487534626035</v>
      </c>
      <c r="N23" s="4">
        <f t="shared" si="1"/>
        <v>74.803149606299215</v>
      </c>
      <c r="O23">
        <f t="shared" si="2"/>
        <v>6</v>
      </c>
      <c r="P23">
        <f t="shared" si="3"/>
        <v>2.8</v>
      </c>
      <c r="Q23" t="str">
        <f t="shared" si="4"/>
        <v>6' 2.8"</v>
      </c>
      <c r="R23">
        <f t="shared" si="5"/>
        <v>395</v>
      </c>
      <c r="S23">
        <f t="shared" si="11"/>
        <v>7</v>
      </c>
      <c r="T23">
        <f t="shared" si="11"/>
        <v>9</v>
      </c>
      <c r="U23">
        <f t="shared" si="11"/>
        <v>12</v>
      </c>
    </row>
    <row r="24" spans="1:21">
      <c r="A24" s="1" t="s">
        <v>96</v>
      </c>
      <c r="B24" s="1"/>
      <c r="C24" s="1" t="s">
        <v>139</v>
      </c>
      <c r="D24" s="1" t="s">
        <v>132</v>
      </c>
      <c r="E24" s="1" t="s">
        <v>31</v>
      </c>
      <c r="F24" s="1" t="s">
        <v>135</v>
      </c>
      <c r="G24" s="1" t="s">
        <v>136</v>
      </c>
      <c r="H24" s="1" t="s">
        <v>135</v>
      </c>
      <c r="I24" s="1">
        <f>_xlfn.XLOOKUP(H24,'rank lookup'!$A$1:$A$21,'rank lookup'!$B$1:$B$21,,0)</f>
        <v>11</v>
      </c>
      <c r="J24" s="1"/>
      <c r="K24" s="23">
        <v>188</v>
      </c>
      <c r="L24" s="23">
        <v>183</v>
      </c>
      <c r="M24" s="5">
        <f t="shared" si="0"/>
        <v>51.776822091444096</v>
      </c>
      <c r="N24" s="4">
        <f t="shared" si="1"/>
        <v>74.015748031496059</v>
      </c>
      <c r="O24">
        <f t="shared" si="2"/>
        <v>6</v>
      </c>
      <c r="P24">
        <f t="shared" si="3"/>
        <v>2</v>
      </c>
      <c r="Q24" t="str">
        <f t="shared" si="4"/>
        <v>6' 2"</v>
      </c>
      <c r="R24">
        <f t="shared" si="5"/>
        <v>403</v>
      </c>
      <c r="S24">
        <f t="shared" si="11"/>
        <v>11</v>
      </c>
      <c r="T24">
        <f t="shared" si="11"/>
        <v>6</v>
      </c>
      <c r="U24">
        <f t="shared" si="11"/>
        <v>8</v>
      </c>
    </row>
    <row r="25" spans="1:21">
      <c r="A25" s="1" t="s">
        <v>92</v>
      </c>
      <c r="B25" s="1">
        <v>2</v>
      </c>
      <c r="C25" s="1" t="s">
        <v>137</v>
      </c>
      <c r="D25" s="1" t="s">
        <v>42</v>
      </c>
      <c r="E25" s="1" t="s">
        <v>136</v>
      </c>
      <c r="F25" s="1" t="s">
        <v>132</v>
      </c>
      <c r="G25" s="1" t="s">
        <v>135</v>
      </c>
      <c r="H25" s="1" t="s">
        <v>135</v>
      </c>
      <c r="I25" s="1">
        <f>_xlfn.XLOOKUP(H25,'rank lookup'!$A$1:$A$21,'rank lookup'!$B$1:$B$21,,0)</f>
        <v>11</v>
      </c>
      <c r="J25" s="1"/>
      <c r="K25" s="23">
        <v>189</v>
      </c>
      <c r="L25" s="23">
        <v>174</v>
      </c>
      <c r="M25" s="5">
        <f t="shared" si="0"/>
        <v>48.710842361636011</v>
      </c>
      <c r="N25" s="4">
        <f t="shared" si="1"/>
        <v>74.409448818897644</v>
      </c>
      <c r="O25">
        <f t="shared" si="2"/>
        <v>6</v>
      </c>
      <c r="P25">
        <f t="shared" si="3"/>
        <v>2.4</v>
      </c>
      <c r="Q25" t="str">
        <f t="shared" si="4"/>
        <v>6' 2.4"</v>
      </c>
      <c r="R25">
        <f t="shared" si="5"/>
        <v>384</v>
      </c>
      <c r="S25">
        <f t="shared" si="11"/>
        <v>8</v>
      </c>
      <c r="T25">
        <f t="shared" si="11"/>
        <v>11</v>
      </c>
      <c r="U25">
        <f t="shared" si="11"/>
        <v>19</v>
      </c>
    </row>
    <row r="26" spans="1:21">
      <c r="A26" t="s">
        <v>144</v>
      </c>
      <c r="C26" s="1" t="s">
        <v>145</v>
      </c>
      <c r="D26" s="1" t="s">
        <v>140</v>
      </c>
      <c r="E26" s="1" t="s">
        <v>139</v>
      </c>
      <c r="F26" s="1" t="s">
        <v>145</v>
      </c>
      <c r="G26" s="1" t="s">
        <v>137</v>
      </c>
      <c r="H26" s="1" t="s">
        <v>142</v>
      </c>
      <c r="I26" s="1">
        <f>_xlfn.XLOOKUP(H26,'rank lookup'!$A$1:$A$21,'rank lookup'!$B$1:$B$21,,0)</f>
        <v>12</v>
      </c>
      <c r="J26" s="1"/>
      <c r="K26" s="23">
        <v>184</v>
      </c>
      <c r="L26" s="23">
        <v>149</v>
      </c>
      <c r="M26" s="5">
        <f t="shared" si="0"/>
        <v>44.009924385633276</v>
      </c>
      <c r="N26" s="4">
        <f t="shared" si="1"/>
        <v>72.440944881889763</v>
      </c>
      <c r="O26">
        <f t="shared" si="2"/>
        <v>6</v>
      </c>
      <c r="P26">
        <f t="shared" si="3"/>
        <v>0.4</v>
      </c>
      <c r="Q26" t="str">
        <f t="shared" si="4"/>
        <v>6' 0.4"</v>
      </c>
      <c r="R26">
        <f t="shared" si="5"/>
        <v>328</v>
      </c>
      <c r="S26">
        <f t="shared" si="11"/>
        <v>22</v>
      </c>
      <c r="T26">
        <f t="shared" si="11"/>
        <v>31</v>
      </c>
      <c r="U26">
        <f t="shared" si="11"/>
        <v>32</v>
      </c>
    </row>
    <row r="27" spans="1:21">
      <c r="A27" s="1" t="s">
        <v>111</v>
      </c>
      <c r="B27" s="1"/>
      <c r="C27" s="1" t="s">
        <v>140</v>
      </c>
      <c r="D27" s="1" t="s">
        <v>139</v>
      </c>
      <c r="E27" s="1" t="s">
        <v>139</v>
      </c>
      <c r="F27" s="1" t="s">
        <v>141</v>
      </c>
      <c r="G27" s="1" t="s">
        <v>142</v>
      </c>
      <c r="H27" s="1" t="s">
        <v>142</v>
      </c>
      <c r="I27" s="1">
        <f>_xlfn.XLOOKUP(H27,'rank lookup'!$A$1:$A$21,'rank lookup'!$B$1:$B$21,,0)</f>
        <v>12</v>
      </c>
      <c r="J27" s="1"/>
      <c r="K27" s="23">
        <v>182</v>
      </c>
      <c r="L27" s="23">
        <v>142</v>
      </c>
      <c r="M27" s="5">
        <f t="shared" si="0"/>
        <v>42.869218693394522</v>
      </c>
      <c r="N27" s="4">
        <f t="shared" si="1"/>
        <v>71.653543307086608</v>
      </c>
      <c r="O27">
        <f t="shared" si="2"/>
        <v>5</v>
      </c>
      <c r="P27">
        <f t="shared" si="3"/>
        <v>11.7</v>
      </c>
      <c r="Q27" t="str">
        <f t="shared" si="4"/>
        <v>5' 11.7"</v>
      </c>
      <c r="R27">
        <f t="shared" si="5"/>
        <v>313</v>
      </c>
      <c r="S27">
        <f t="shared" si="11"/>
        <v>28</v>
      </c>
      <c r="T27">
        <f t="shared" si="11"/>
        <v>35</v>
      </c>
      <c r="U27">
        <f t="shared" si="11"/>
        <v>36</v>
      </c>
    </row>
    <row r="28" spans="1:21">
      <c r="A28" s="1" t="s">
        <v>103</v>
      </c>
      <c r="B28" s="1"/>
      <c r="C28" s="1" t="s">
        <v>142</v>
      </c>
      <c r="D28" s="1" t="s">
        <v>140</v>
      </c>
      <c r="E28" s="1" t="s">
        <v>141</v>
      </c>
      <c r="F28" s="1" t="s">
        <v>135</v>
      </c>
      <c r="G28" s="1" t="s">
        <v>135</v>
      </c>
      <c r="H28" s="1" t="s">
        <v>143</v>
      </c>
      <c r="I28" s="1">
        <f>_xlfn.XLOOKUP(H28,'rank lookup'!$A$1:$A$21,'rank lookup'!$B$1:$B$21,,0)</f>
        <v>13</v>
      </c>
      <c r="J28" s="1"/>
      <c r="K28" s="23">
        <v>184</v>
      </c>
      <c r="L28" s="23">
        <v>158</v>
      </c>
      <c r="M28" s="5">
        <f t="shared" si="0"/>
        <v>46.668241965973536</v>
      </c>
      <c r="N28" s="4">
        <f t="shared" si="1"/>
        <v>72.440944881889763</v>
      </c>
      <c r="O28">
        <f t="shared" si="2"/>
        <v>6</v>
      </c>
      <c r="P28">
        <f t="shared" si="3"/>
        <v>0.4</v>
      </c>
      <c r="Q28" t="str">
        <f t="shared" si="4"/>
        <v>6' 0.4"</v>
      </c>
      <c r="R28">
        <f t="shared" si="5"/>
        <v>348</v>
      </c>
      <c r="S28">
        <f t="shared" si="11"/>
        <v>22</v>
      </c>
      <c r="T28">
        <f t="shared" si="11"/>
        <v>24</v>
      </c>
      <c r="U28">
        <f t="shared" si="11"/>
        <v>25</v>
      </c>
    </row>
    <row r="29" spans="1:21">
      <c r="A29" s="1" t="s">
        <v>101</v>
      </c>
      <c r="B29" s="1"/>
      <c r="C29" s="1" t="s">
        <v>145</v>
      </c>
      <c r="D29" s="1" t="s">
        <v>143</v>
      </c>
      <c r="E29" s="1" t="s">
        <v>143</v>
      </c>
      <c r="F29" s="1" t="s">
        <v>147</v>
      </c>
      <c r="G29" s="1" t="s">
        <v>142</v>
      </c>
      <c r="H29" s="1" t="s">
        <v>143</v>
      </c>
      <c r="I29" s="1">
        <f>_xlfn.XLOOKUP(H29,'rank lookup'!$A$1:$A$21,'rank lookup'!$B$1:$B$21,,0)</f>
        <v>13</v>
      </c>
      <c r="J29" s="1"/>
      <c r="K29" s="23">
        <v>183</v>
      </c>
      <c r="L29" s="23">
        <v>170</v>
      </c>
      <c r="M29" s="5">
        <f t="shared" si="0"/>
        <v>50.762937083818564</v>
      </c>
      <c r="N29" s="4">
        <f t="shared" si="1"/>
        <v>72.047244094488192</v>
      </c>
      <c r="O29">
        <f t="shared" si="2"/>
        <v>6</v>
      </c>
      <c r="P29">
        <f t="shared" si="3"/>
        <v>0</v>
      </c>
      <c r="Q29" t="str">
        <f t="shared" si="4"/>
        <v>6' 0"</v>
      </c>
      <c r="R29">
        <f t="shared" si="5"/>
        <v>375</v>
      </c>
      <c r="S29">
        <f t="shared" si="11"/>
        <v>27</v>
      </c>
      <c r="T29">
        <f t="shared" si="11"/>
        <v>15</v>
      </c>
      <c r="U29">
        <f t="shared" si="11"/>
        <v>10</v>
      </c>
    </row>
    <row r="30" spans="1:21">
      <c r="A30" s="1" t="s">
        <v>189</v>
      </c>
      <c r="F30" t="s">
        <v>151</v>
      </c>
      <c r="G30" t="s">
        <v>140</v>
      </c>
      <c r="H30" s="1" t="s">
        <v>145</v>
      </c>
      <c r="I30" s="1">
        <f>_xlfn.XLOOKUP(H30,'rank lookup'!$A$1:$A$21,'rank lookup'!$B$1:$B$21,,0)</f>
        <v>14</v>
      </c>
      <c r="J30" s="1"/>
      <c r="K30" s="23">
        <v>192</v>
      </c>
      <c r="L30" s="23">
        <v>181</v>
      </c>
      <c r="M30" s="5">
        <f t="shared" si="0"/>
        <v>49.099392361111107</v>
      </c>
      <c r="N30" s="4">
        <f t="shared" si="1"/>
        <v>75.59055118110237</v>
      </c>
      <c r="O30">
        <f t="shared" si="2"/>
        <v>6</v>
      </c>
      <c r="P30">
        <f t="shared" si="3"/>
        <v>3.6</v>
      </c>
      <c r="Q30" t="str">
        <f t="shared" si="4"/>
        <v>6' 3.6"</v>
      </c>
      <c r="R30">
        <f t="shared" si="5"/>
        <v>399</v>
      </c>
      <c r="S30">
        <f t="shared" si="11"/>
        <v>3</v>
      </c>
      <c r="T30">
        <f t="shared" si="11"/>
        <v>7</v>
      </c>
      <c r="U30">
        <f t="shared" si="11"/>
        <v>18</v>
      </c>
    </row>
    <row r="31" spans="1:21">
      <c r="A31" s="1" t="s">
        <v>97</v>
      </c>
      <c r="B31" s="1"/>
      <c r="C31" s="1" t="s">
        <v>143</v>
      </c>
      <c r="D31" s="1" t="s">
        <v>135</v>
      </c>
      <c r="E31" s="1" t="s">
        <v>141</v>
      </c>
      <c r="F31" s="1" t="s">
        <v>145</v>
      </c>
      <c r="G31" s="1" t="s">
        <v>151</v>
      </c>
      <c r="H31" s="1" t="s">
        <v>145</v>
      </c>
      <c r="I31" s="1">
        <f>_xlfn.XLOOKUP(H31,'rank lookup'!$A$1:$A$21,'rank lookup'!$B$1:$B$21,,0)</f>
        <v>14</v>
      </c>
      <c r="J31" s="1"/>
      <c r="K31" s="23">
        <v>188</v>
      </c>
      <c r="L31" s="23">
        <v>156</v>
      </c>
      <c r="M31" s="5">
        <f t="shared" si="0"/>
        <v>44.137618832050705</v>
      </c>
      <c r="N31" s="4">
        <f t="shared" si="1"/>
        <v>74.015748031496059</v>
      </c>
      <c r="O31">
        <f t="shared" si="2"/>
        <v>6</v>
      </c>
      <c r="P31">
        <f t="shared" si="3"/>
        <v>2</v>
      </c>
      <c r="Q31" t="str">
        <f t="shared" si="4"/>
        <v>6' 2"</v>
      </c>
      <c r="R31">
        <f t="shared" si="5"/>
        <v>344</v>
      </c>
      <c r="S31">
        <f t="shared" si="11"/>
        <v>11</v>
      </c>
      <c r="T31">
        <f t="shared" si="11"/>
        <v>26</v>
      </c>
      <c r="U31">
        <f t="shared" si="11"/>
        <v>30</v>
      </c>
    </row>
    <row r="32" spans="1:21">
      <c r="A32" s="1" t="s">
        <v>122</v>
      </c>
      <c r="B32" s="1"/>
      <c r="C32" s="1" t="s">
        <v>143</v>
      </c>
      <c r="D32" s="1" t="s">
        <v>148</v>
      </c>
      <c r="E32" s="1" t="s">
        <v>150</v>
      </c>
      <c r="F32" s="1" t="s">
        <v>150</v>
      </c>
      <c r="G32" s="1" t="s">
        <v>148</v>
      </c>
      <c r="H32" s="1" t="s">
        <v>147</v>
      </c>
      <c r="I32" s="1">
        <f>_xlfn.XLOOKUP(H32,'rank lookup'!$A$1:$A$21,'rank lookup'!$B$1:$B$21,,0)</f>
        <v>15</v>
      </c>
      <c r="J32" s="1"/>
      <c r="K32" s="23">
        <v>176</v>
      </c>
      <c r="L32" s="23">
        <v>133</v>
      </c>
      <c r="M32" s="5">
        <f t="shared" si="0"/>
        <v>42.936466942148755</v>
      </c>
      <c r="N32" s="4">
        <f t="shared" si="1"/>
        <v>69.29133858267717</v>
      </c>
      <c r="O32">
        <f t="shared" si="2"/>
        <v>5</v>
      </c>
      <c r="P32">
        <f t="shared" si="3"/>
        <v>9.3000000000000007</v>
      </c>
      <c r="Q32" t="str">
        <f t="shared" si="4"/>
        <v>5' 9.3"</v>
      </c>
      <c r="R32">
        <f t="shared" si="5"/>
        <v>293</v>
      </c>
      <c r="S32">
        <f t="shared" si="11"/>
        <v>37</v>
      </c>
      <c r="T32">
        <f t="shared" si="11"/>
        <v>40</v>
      </c>
      <c r="U32">
        <f t="shared" si="11"/>
        <v>35</v>
      </c>
    </row>
    <row r="33" spans="1:21">
      <c r="A33" s="1" t="s">
        <v>108</v>
      </c>
      <c r="B33" s="1"/>
      <c r="C33" s="1" t="s">
        <v>152</v>
      </c>
      <c r="D33" s="1" t="s">
        <v>170</v>
      </c>
      <c r="E33" s="1" t="s">
        <v>152</v>
      </c>
      <c r="F33" s="1" t="s">
        <v>154</v>
      </c>
      <c r="G33" s="1" t="s">
        <v>152</v>
      </c>
      <c r="H33" s="1" t="s">
        <v>147</v>
      </c>
      <c r="I33" s="1">
        <f>_xlfn.XLOOKUP(H33,'rank lookup'!$A$1:$A$21,'rank lookup'!$B$1:$B$21,,0)</f>
        <v>15</v>
      </c>
      <c r="J33" s="1"/>
      <c r="K33" s="23">
        <v>185</v>
      </c>
      <c r="L33" s="23">
        <v>194</v>
      </c>
      <c r="M33" s="5">
        <f t="shared" si="0"/>
        <v>56.683710737764791</v>
      </c>
      <c r="N33" s="4">
        <f t="shared" si="1"/>
        <v>72.834645669291348</v>
      </c>
      <c r="O33">
        <f t="shared" si="2"/>
        <v>6</v>
      </c>
      <c r="P33">
        <f t="shared" si="3"/>
        <v>0.8</v>
      </c>
      <c r="Q33" t="str">
        <f t="shared" si="4"/>
        <v>6' 0.8"</v>
      </c>
      <c r="R33">
        <f t="shared" si="5"/>
        <v>428</v>
      </c>
      <c r="S33">
        <f t="shared" si="11"/>
        <v>19</v>
      </c>
      <c r="T33">
        <f t="shared" si="11"/>
        <v>2</v>
      </c>
      <c r="U33">
        <f t="shared" si="11"/>
        <v>3</v>
      </c>
    </row>
    <row r="34" spans="1:21">
      <c r="A34" s="1" t="s">
        <v>114</v>
      </c>
      <c r="B34" s="1"/>
      <c r="C34" s="1" t="s">
        <v>31</v>
      </c>
      <c r="D34" s="1" t="s">
        <v>31</v>
      </c>
      <c r="E34" s="1" t="s">
        <v>31</v>
      </c>
      <c r="F34" s="1" t="s">
        <v>31</v>
      </c>
      <c r="G34" s="1" t="s">
        <v>42</v>
      </c>
      <c r="H34" s="1" t="s">
        <v>148</v>
      </c>
      <c r="I34" s="1">
        <f>_xlfn.XLOOKUP(H34,'rank lookup'!$A$1:$A$21,'rank lookup'!$B$1:$B$21,,0)</f>
        <v>16</v>
      </c>
      <c r="J34" s="1"/>
      <c r="K34" s="23">
        <v>182</v>
      </c>
      <c r="L34" s="23">
        <v>132</v>
      </c>
      <c r="M34" s="5">
        <f t="shared" si="0"/>
        <v>39.850259630479414</v>
      </c>
      <c r="N34" s="4">
        <f t="shared" si="1"/>
        <v>71.653543307086608</v>
      </c>
      <c r="O34">
        <f t="shared" si="2"/>
        <v>5</v>
      </c>
      <c r="P34">
        <f t="shared" si="3"/>
        <v>11.7</v>
      </c>
      <c r="Q34" t="str">
        <f t="shared" si="4"/>
        <v>5' 11.7"</v>
      </c>
      <c r="R34">
        <f t="shared" si="5"/>
        <v>291</v>
      </c>
      <c r="S34">
        <f t="shared" si="11"/>
        <v>28</v>
      </c>
      <c r="T34">
        <f t="shared" si="11"/>
        <v>41</v>
      </c>
      <c r="U34">
        <f t="shared" si="11"/>
        <v>41</v>
      </c>
    </row>
    <row r="35" spans="1:21">
      <c r="A35" s="1" t="s">
        <v>110</v>
      </c>
      <c r="B35" s="1"/>
      <c r="C35" s="1" t="s">
        <v>151</v>
      </c>
      <c r="D35" s="1" t="s">
        <v>145</v>
      </c>
      <c r="E35" s="1" t="s">
        <v>147</v>
      </c>
      <c r="F35" s="1" t="s">
        <v>154</v>
      </c>
      <c r="G35" s="1" t="s">
        <v>150</v>
      </c>
      <c r="H35" s="1" t="s">
        <v>148</v>
      </c>
      <c r="I35" s="1">
        <f>_xlfn.XLOOKUP(H35,'rank lookup'!$A$1:$A$21,'rank lookup'!$B$1:$B$21,,0)</f>
        <v>16</v>
      </c>
      <c r="J35" s="1"/>
      <c r="K35" s="23">
        <v>184</v>
      </c>
      <c r="L35" s="23">
        <v>137</v>
      </c>
      <c r="M35" s="5">
        <f t="shared" si="0"/>
        <v>40.465500945179578</v>
      </c>
      <c r="N35" s="4">
        <f t="shared" si="1"/>
        <v>72.440944881889763</v>
      </c>
      <c r="O35">
        <f t="shared" si="2"/>
        <v>6</v>
      </c>
      <c r="P35">
        <f t="shared" si="3"/>
        <v>0.4</v>
      </c>
      <c r="Q35" t="str">
        <f t="shared" si="4"/>
        <v>6' 0.4"</v>
      </c>
      <c r="R35">
        <f t="shared" si="5"/>
        <v>302</v>
      </c>
      <c r="S35">
        <f t="shared" si="11"/>
        <v>22</v>
      </c>
      <c r="T35">
        <f t="shared" si="11"/>
        <v>37</v>
      </c>
      <c r="U35">
        <f t="shared" si="11"/>
        <v>39</v>
      </c>
    </row>
    <row r="36" spans="1:21">
      <c r="A36" t="s">
        <v>146</v>
      </c>
      <c r="C36" s="1" t="s">
        <v>147</v>
      </c>
      <c r="D36" s="1" t="s">
        <v>147</v>
      </c>
      <c r="E36" s="1" t="s">
        <v>150</v>
      </c>
      <c r="F36" s="1" t="s">
        <v>140</v>
      </c>
      <c r="G36" s="1" t="s">
        <v>140</v>
      </c>
      <c r="H36" s="1" t="s">
        <v>150</v>
      </c>
      <c r="I36" s="1">
        <f>_xlfn.XLOOKUP(H36,'rank lookup'!$A$1:$A$21,'rank lookup'!$B$1:$B$21,,0)</f>
        <v>17</v>
      </c>
      <c r="J36" s="1"/>
      <c r="K36" s="23">
        <v>191</v>
      </c>
      <c r="L36" s="23">
        <v>161</v>
      </c>
      <c r="M36" s="5">
        <f t="shared" ref="M36:M58" si="12">L36/(K36*K36)*10000</f>
        <v>44.13256215564266</v>
      </c>
      <c r="N36" s="4">
        <f t="shared" ref="N36:N58" si="13">CONVERT(K36,"cm","in")</f>
        <v>75.196850393700785</v>
      </c>
      <c r="O36">
        <f t="shared" ref="O36:O58" si="14">_xlfn.FLOOR.MATH(N36/12)</f>
        <v>6</v>
      </c>
      <c r="P36">
        <f t="shared" ref="P36:P58" si="15">ROUND(N36-O36*12,1)</f>
        <v>3.2</v>
      </c>
      <c r="Q36" t="str">
        <f t="shared" ref="Q36:Q58" si="16">O36&amp;"' "&amp;P36&amp;""""</f>
        <v>6' 3.2"</v>
      </c>
      <c r="R36">
        <f t="shared" ref="R36:R58" si="17">ROUND(CONVERT(L36,"kg","lbm"),0)</f>
        <v>355</v>
      </c>
      <c r="S36">
        <f t="shared" si="11"/>
        <v>5</v>
      </c>
      <c r="T36">
        <f t="shared" si="11"/>
        <v>22</v>
      </c>
      <c r="U36">
        <f t="shared" si="11"/>
        <v>31</v>
      </c>
    </row>
    <row r="37" spans="1:21">
      <c r="A37" s="1" t="s">
        <v>242</v>
      </c>
      <c r="H37" t="s">
        <v>150</v>
      </c>
      <c r="I37" s="1">
        <f>_xlfn.XLOOKUP(H37,'rank lookup'!$A$1:$A$21,'rank lookup'!$B$1:$B$21,,0)</f>
        <v>17</v>
      </c>
      <c r="K37" s="25">
        <v>177</v>
      </c>
      <c r="L37" s="25">
        <v>154</v>
      </c>
      <c r="M37" s="5">
        <f t="shared" si="12"/>
        <v>49.155734303680298</v>
      </c>
      <c r="N37" s="4">
        <f t="shared" si="13"/>
        <v>69.685039370078741</v>
      </c>
      <c r="O37">
        <f t="shared" si="14"/>
        <v>5</v>
      </c>
      <c r="P37">
        <f t="shared" si="15"/>
        <v>9.6999999999999993</v>
      </c>
      <c r="Q37" t="str">
        <f t="shared" si="16"/>
        <v>5' 9.7"</v>
      </c>
      <c r="R37">
        <f t="shared" si="17"/>
        <v>340</v>
      </c>
      <c r="S37">
        <f t="shared" si="11"/>
        <v>34</v>
      </c>
      <c r="T37">
        <f t="shared" si="11"/>
        <v>28</v>
      </c>
      <c r="U37">
        <f t="shared" si="11"/>
        <v>17</v>
      </c>
    </row>
    <row r="38" spans="1:21">
      <c r="A38" s="1" t="s">
        <v>188</v>
      </c>
      <c r="F38" t="s">
        <v>150</v>
      </c>
      <c r="G38" t="s">
        <v>147</v>
      </c>
      <c r="H38" s="1" t="s">
        <v>151</v>
      </c>
      <c r="I38" s="1">
        <f>_xlfn.XLOOKUP(H38,'rank lookup'!$A$1:$A$21,'rank lookup'!$B$1:$B$21,,0)</f>
        <v>18</v>
      </c>
      <c r="J38" s="1"/>
      <c r="K38" s="23">
        <v>185</v>
      </c>
      <c r="L38" s="23">
        <v>196</v>
      </c>
      <c r="M38" s="5">
        <f t="shared" si="12"/>
        <v>57.268078889700504</v>
      </c>
      <c r="N38" s="4">
        <f t="shared" si="13"/>
        <v>72.834645669291348</v>
      </c>
      <c r="O38">
        <f t="shared" si="14"/>
        <v>6</v>
      </c>
      <c r="P38">
        <f t="shared" si="15"/>
        <v>0.8</v>
      </c>
      <c r="Q38" t="str">
        <f t="shared" si="16"/>
        <v>6' 0.8"</v>
      </c>
      <c r="R38">
        <f t="shared" si="17"/>
        <v>432</v>
      </c>
      <c r="S38">
        <f t="shared" si="11"/>
        <v>19</v>
      </c>
      <c r="T38">
        <f t="shared" si="11"/>
        <v>1</v>
      </c>
      <c r="U38">
        <f t="shared" si="11"/>
        <v>2</v>
      </c>
    </row>
    <row r="39" spans="1:21">
      <c r="A39" s="1" t="s">
        <v>243</v>
      </c>
      <c r="H39" t="s">
        <v>151</v>
      </c>
      <c r="I39" s="1">
        <f>_xlfn.XLOOKUP(H39,'rank lookup'!$A$1:$A$21,'rank lookup'!$B$1:$B$21,,0)</f>
        <v>18</v>
      </c>
      <c r="K39" s="25">
        <v>193</v>
      </c>
      <c r="L39" s="25">
        <v>186</v>
      </c>
      <c r="M39" s="5">
        <f t="shared" si="12"/>
        <v>49.93422642218583</v>
      </c>
      <c r="N39" s="4">
        <f t="shared" si="13"/>
        <v>75.984251968503941</v>
      </c>
      <c r="O39">
        <f t="shared" si="14"/>
        <v>6</v>
      </c>
      <c r="P39">
        <f t="shared" si="15"/>
        <v>4</v>
      </c>
      <c r="Q39" t="str">
        <f t="shared" si="16"/>
        <v>6' 4"</v>
      </c>
      <c r="R39">
        <f t="shared" si="17"/>
        <v>410</v>
      </c>
      <c r="S39">
        <f t="shared" si="11"/>
        <v>2</v>
      </c>
      <c r="T39">
        <f t="shared" si="11"/>
        <v>3</v>
      </c>
      <c r="U39">
        <f t="shared" si="11"/>
        <v>11</v>
      </c>
    </row>
    <row r="40" spans="1:21">
      <c r="A40" t="s">
        <v>149</v>
      </c>
      <c r="C40" s="1" t="s">
        <v>148</v>
      </c>
      <c r="D40" s="1" t="s">
        <v>141</v>
      </c>
      <c r="E40" s="1" t="s">
        <v>140</v>
      </c>
      <c r="F40" s="1" t="s">
        <v>136</v>
      </c>
      <c r="G40" s="1" t="s">
        <v>145</v>
      </c>
      <c r="H40" s="1" t="s">
        <v>152</v>
      </c>
      <c r="I40" s="1">
        <f>_xlfn.XLOOKUP(H40,'rank lookup'!$A$1:$A$21,'rank lookup'!$B$1:$B$21,,0)</f>
        <v>19</v>
      </c>
      <c r="J40" s="1"/>
      <c r="K40" s="24">
        <v>188</v>
      </c>
      <c r="L40" s="23">
        <v>155</v>
      </c>
      <c r="M40" s="5">
        <f t="shared" si="12"/>
        <v>43.854685377999097</v>
      </c>
      <c r="N40" s="4">
        <f t="shared" si="13"/>
        <v>74.015748031496059</v>
      </c>
      <c r="O40">
        <f t="shared" si="14"/>
        <v>6</v>
      </c>
      <c r="P40">
        <f t="shared" si="15"/>
        <v>2</v>
      </c>
      <c r="Q40" t="str">
        <f t="shared" si="16"/>
        <v>6' 2"</v>
      </c>
      <c r="R40">
        <f t="shared" si="17"/>
        <v>342</v>
      </c>
      <c r="S40">
        <f t="shared" si="11"/>
        <v>11</v>
      </c>
      <c r="T40">
        <f t="shared" si="11"/>
        <v>27</v>
      </c>
      <c r="U40">
        <f t="shared" si="11"/>
        <v>33</v>
      </c>
    </row>
    <row r="41" spans="1:21">
      <c r="A41" s="1" t="s">
        <v>104</v>
      </c>
      <c r="B41" s="1"/>
      <c r="C41" s="1" t="s">
        <v>140</v>
      </c>
      <c r="D41" s="1" t="s">
        <v>142</v>
      </c>
      <c r="E41" s="1" t="s">
        <v>154</v>
      </c>
      <c r="F41" s="1" t="s">
        <v>148</v>
      </c>
      <c r="G41" s="1" t="s">
        <v>145</v>
      </c>
      <c r="H41" s="1" t="s">
        <v>152</v>
      </c>
      <c r="I41" s="1">
        <f>_xlfn.XLOOKUP(H41,'rank lookup'!$A$1:$A$21,'rank lookup'!$B$1:$B$21,,0)</f>
        <v>19</v>
      </c>
      <c r="J41" s="1"/>
      <c r="K41" s="23">
        <v>186</v>
      </c>
      <c r="L41" s="23">
        <v>171</v>
      </c>
      <c r="M41" s="5">
        <f t="shared" si="12"/>
        <v>49.427679500520291</v>
      </c>
      <c r="N41" s="4">
        <f t="shared" si="13"/>
        <v>73.228346456692918</v>
      </c>
      <c r="O41">
        <f t="shared" si="14"/>
        <v>6</v>
      </c>
      <c r="P41">
        <f t="shared" si="15"/>
        <v>1.2</v>
      </c>
      <c r="Q41" t="str">
        <f t="shared" si="16"/>
        <v>6' 1.2"</v>
      </c>
      <c r="R41">
        <f t="shared" si="17"/>
        <v>377</v>
      </c>
      <c r="S41">
        <f t="shared" si="11"/>
        <v>16</v>
      </c>
      <c r="T41">
        <f t="shared" si="11"/>
        <v>13</v>
      </c>
      <c r="U41">
        <f t="shared" si="11"/>
        <v>15</v>
      </c>
    </row>
    <row r="42" spans="1:21">
      <c r="A42" s="1" t="s">
        <v>99</v>
      </c>
      <c r="B42" s="1"/>
      <c r="C42" s="1" t="s">
        <v>141</v>
      </c>
      <c r="D42" s="1" t="s">
        <v>135</v>
      </c>
      <c r="E42" s="1" t="s">
        <v>143</v>
      </c>
      <c r="F42" s="1" t="s">
        <v>141</v>
      </c>
      <c r="G42" s="1" t="s">
        <v>136</v>
      </c>
      <c r="H42" s="1" t="s">
        <v>154</v>
      </c>
      <c r="I42" s="1">
        <f>_xlfn.XLOOKUP(H42,'rank lookup'!$A$1:$A$21,'rank lookup'!$B$1:$B$21,,0)</f>
        <v>20</v>
      </c>
      <c r="J42" s="1"/>
      <c r="K42" s="23">
        <v>184</v>
      </c>
      <c r="L42" s="23">
        <v>150</v>
      </c>
      <c r="M42" s="5">
        <f t="shared" si="12"/>
        <v>44.305293005671075</v>
      </c>
      <c r="N42" s="4">
        <f t="shared" si="13"/>
        <v>72.440944881889763</v>
      </c>
      <c r="O42">
        <f t="shared" si="14"/>
        <v>6</v>
      </c>
      <c r="P42">
        <f t="shared" si="15"/>
        <v>0.4</v>
      </c>
      <c r="Q42" t="str">
        <f t="shared" si="16"/>
        <v>6' 0.4"</v>
      </c>
      <c r="R42">
        <f t="shared" si="17"/>
        <v>331</v>
      </c>
      <c r="S42">
        <f t="shared" si="11"/>
        <v>22</v>
      </c>
      <c r="T42">
        <f t="shared" si="11"/>
        <v>30</v>
      </c>
      <c r="U42">
        <f t="shared" si="11"/>
        <v>29</v>
      </c>
    </row>
    <row r="43" spans="1:21">
      <c r="A43" s="1" t="s">
        <v>190</v>
      </c>
      <c r="F43" t="s">
        <v>151</v>
      </c>
      <c r="G43" s="1" t="s">
        <v>170</v>
      </c>
      <c r="H43" s="1" t="s">
        <v>154</v>
      </c>
      <c r="I43" s="1">
        <f>_xlfn.XLOOKUP(H43,'rank lookup'!$A$1:$A$21,'rank lookup'!$B$1:$B$21,,0)</f>
        <v>20</v>
      </c>
      <c r="K43" s="23">
        <v>171</v>
      </c>
      <c r="L43" s="23">
        <v>171</v>
      </c>
      <c r="M43" s="5">
        <f t="shared" si="12"/>
        <v>58.479532163742689</v>
      </c>
      <c r="N43" s="4">
        <f t="shared" si="13"/>
        <v>67.322834645669289</v>
      </c>
      <c r="O43">
        <f t="shared" si="14"/>
        <v>5</v>
      </c>
      <c r="P43">
        <f t="shared" si="15"/>
        <v>7.3</v>
      </c>
      <c r="Q43" t="str">
        <f t="shared" si="16"/>
        <v>5' 7.3"</v>
      </c>
      <c r="R43">
        <f t="shared" si="17"/>
        <v>377</v>
      </c>
      <c r="S43">
        <f t="shared" si="11"/>
        <v>41</v>
      </c>
      <c r="T43">
        <f t="shared" si="11"/>
        <v>13</v>
      </c>
      <c r="U43">
        <f t="shared" si="11"/>
        <v>1</v>
      </c>
    </row>
    <row r="44" spans="1:21">
      <c r="A44" s="1" t="s">
        <v>91</v>
      </c>
      <c r="B44" s="1"/>
      <c r="C44" s="1" t="s">
        <v>135</v>
      </c>
      <c r="D44" s="1" t="s">
        <v>145</v>
      </c>
      <c r="E44" s="1" t="s">
        <v>145</v>
      </c>
      <c r="F44" s="1" t="s">
        <v>143</v>
      </c>
      <c r="G44" s="1" t="s">
        <v>148</v>
      </c>
      <c r="H44" s="1" t="s">
        <v>186</v>
      </c>
      <c r="I44" s="1">
        <f>_xlfn.XLOOKUP(H44,'rank lookup'!$A$1:$A$21,'rank lookup'!$B$1:$B$21,,0)</f>
        <v>21</v>
      </c>
      <c r="J44" s="1"/>
      <c r="K44" s="23">
        <v>191</v>
      </c>
      <c r="L44" s="23">
        <v>186</v>
      </c>
      <c r="M44" s="5">
        <f t="shared" si="12"/>
        <v>50.985444477947425</v>
      </c>
      <c r="N44" s="4">
        <f t="shared" si="13"/>
        <v>75.196850393700785</v>
      </c>
      <c r="O44">
        <f t="shared" si="14"/>
        <v>6</v>
      </c>
      <c r="P44">
        <f t="shared" si="15"/>
        <v>3.2</v>
      </c>
      <c r="Q44" t="str">
        <f t="shared" si="16"/>
        <v>6' 3.2"</v>
      </c>
      <c r="R44">
        <f t="shared" si="17"/>
        <v>410</v>
      </c>
      <c r="S44">
        <f t="shared" si="11"/>
        <v>5</v>
      </c>
      <c r="T44">
        <f t="shared" si="11"/>
        <v>3</v>
      </c>
      <c r="U44">
        <f t="shared" si="11"/>
        <v>9</v>
      </c>
    </row>
    <row r="45" spans="1:21">
      <c r="A45" s="1" t="s">
        <v>244</v>
      </c>
      <c r="H45" t="s">
        <v>186</v>
      </c>
      <c r="I45" s="1">
        <f>_xlfn.XLOOKUP(H45,'rank lookup'!$A$1:$A$21,'rank lookup'!$B$1:$B$21,,0)</f>
        <v>21</v>
      </c>
      <c r="K45" s="25">
        <v>181</v>
      </c>
      <c r="L45" s="25">
        <v>162</v>
      </c>
      <c r="M45" s="5">
        <f t="shared" si="12"/>
        <v>49.449040017093495</v>
      </c>
      <c r="N45" s="4">
        <f t="shared" si="13"/>
        <v>71.259842519685037</v>
      </c>
      <c r="O45">
        <f t="shared" si="14"/>
        <v>5</v>
      </c>
      <c r="P45">
        <f t="shared" si="15"/>
        <v>11.3</v>
      </c>
      <c r="Q45" t="str">
        <f t="shared" si="16"/>
        <v>5' 11.3"</v>
      </c>
      <c r="R45">
        <f t="shared" si="17"/>
        <v>357</v>
      </c>
      <c r="S45">
        <f t="shared" si="11"/>
        <v>31</v>
      </c>
      <c r="T45">
        <f t="shared" si="11"/>
        <v>21</v>
      </c>
      <c r="U45">
        <f t="shared" si="11"/>
        <v>14</v>
      </c>
    </row>
    <row r="46" spans="1:21">
      <c r="A46" s="1" t="s">
        <v>89</v>
      </c>
      <c r="B46" s="1">
        <v>1</v>
      </c>
      <c r="C46" s="1" t="s">
        <v>42</v>
      </c>
      <c r="D46" s="1" t="s">
        <v>136</v>
      </c>
      <c r="E46" s="1" t="s">
        <v>135</v>
      </c>
      <c r="F46" s="1" t="s">
        <v>170</v>
      </c>
      <c r="G46" s="1" t="s">
        <v>150</v>
      </c>
      <c r="H46" s="1" t="s">
        <v>179</v>
      </c>
      <c r="I46" s="1" t="e">
        <f>_xlfn.XLOOKUP(H46,'rank lookup'!$A$1:$A$21,'rank lookup'!$B$1:$B$21,,0)</f>
        <v>#N/A</v>
      </c>
      <c r="J46" s="1"/>
      <c r="K46" s="23">
        <v>191</v>
      </c>
      <c r="L46" s="23">
        <v>219</v>
      </c>
      <c r="M46" s="5">
        <f t="shared" si="12"/>
        <v>60.031249143389715</v>
      </c>
      <c r="N46" s="4">
        <f t="shared" si="13"/>
        <v>75.196850393700785</v>
      </c>
      <c r="O46">
        <f t="shared" si="14"/>
        <v>6</v>
      </c>
      <c r="P46">
        <f t="shared" si="15"/>
        <v>3.2</v>
      </c>
      <c r="Q46" t="str">
        <f t="shared" si="16"/>
        <v>6' 3.2"</v>
      </c>
      <c r="R46">
        <f t="shared" si="17"/>
        <v>483</v>
      </c>
    </row>
    <row r="47" spans="1:21">
      <c r="A47" s="1" t="s">
        <v>98</v>
      </c>
      <c r="B47" s="1"/>
      <c r="C47" s="1" t="s">
        <v>150</v>
      </c>
      <c r="D47" s="1" t="s">
        <v>151</v>
      </c>
      <c r="E47" s="1" t="s">
        <v>151</v>
      </c>
      <c r="F47" s="1" t="s">
        <v>142</v>
      </c>
      <c r="G47" s="1" t="s">
        <v>152</v>
      </c>
      <c r="H47" s="1" t="s">
        <v>170</v>
      </c>
      <c r="I47" s="1" t="e">
        <f>_xlfn.XLOOKUP(H47,'rank lookup'!$A$1:$A$21,'rank lookup'!$B$1:$B$21,,0)</f>
        <v>#N/A</v>
      </c>
      <c r="J47" s="1"/>
      <c r="K47" s="23">
        <v>187</v>
      </c>
      <c r="L47" s="23">
        <v>144</v>
      </c>
      <c r="M47" s="5">
        <f t="shared" si="12"/>
        <v>41.179330263948074</v>
      </c>
      <c r="N47" s="4">
        <f t="shared" si="13"/>
        <v>73.622047244094489</v>
      </c>
      <c r="O47">
        <f t="shared" si="14"/>
        <v>6</v>
      </c>
      <c r="P47">
        <f t="shared" si="15"/>
        <v>1.6</v>
      </c>
      <c r="Q47" t="str">
        <f t="shared" si="16"/>
        <v>6' 1.6"</v>
      </c>
      <c r="R47">
        <f t="shared" si="17"/>
        <v>317</v>
      </c>
    </row>
    <row r="48" spans="1:21">
      <c r="A48" t="s">
        <v>153</v>
      </c>
      <c r="C48" s="1" t="s">
        <v>154</v>
      </c>
      <c r="D48" s="1" t="s">
        <v>170</v>
      </c>
      <c r="E48" s="1" t="s">
        <v>152</v>
      </c>
      <c r="F48" s="1" t="s">
        <v>186</v>
      </c>
      <c r="G48" s="1" t="s">
        <v>154</v>
      </c>
      <c r="H48" s="1" t="s">
        <v>192</v>
      </c>
      <c r="I48" s="1" t="e">
        <f>_xlfn.XLOOKUP(H48,'rank lookup'!$A$1:$A$21,'rank lookup'!$B$1:$B$21,,0)</f>
        <v>#N/A</v>
      </c>
      <c r="J48" s="1"/>
      <c r="K48" s="23">
        <v>189</v>
      </c>
      <c r="L48" s="23">
        <v>199</v>
      </c>
      <c r="M48" s="5">
        <f t="shared" si="12"/>
        <v>55.709526608997514</v>
      </c>
      <c r="N48" s="4">
        <f t="shared" si="13"/>
        <v>74.409448818897644</v>
      </c>
      <c r="O48">
        <f t="shared" si="14"/>
        <v>6</v>
      </c>
      <c r="P48">
        <f t="shared" si="15"/>
        <v>2.4</v>
      </c>
      <c r="Q48" t="str">
        <f t="shared" si="16"/>
        <v>6' 2.4"</v>
      </c>
      <c r="R48">
        <f t="shared" si="17"/>
        <v>439</v>
      </c>
    </row>
    <row r="49" spans="1:18">
      <c r="A49" s="1" t="s">
        <v>167</v>
      </c>
      <c r="D49" t="s">
        <v>152</v>
      </c>
      <c r="E49" t="s">
        <v>148</v>
      </c>
      <c r="F49" t="s">
        <v>148</v>
      </c>
      <c r="G49" s="1" t="s">
        <v>186</v>
      </c>
      <c r="H49" s="1" t="s">
        <v>241</v>
      </c>
      <c r="I49" s="1" t="e">
        <f>_xlfn.XLOOKUP(H49,'rank lookup'!$A$1:$A$21,'rank lookup'!$B$1:$B$21,,0)</f>
        <v>#N/A</v>
      </c>
      <c r="K49" s="23">
        <v>193</v>
      </c>
      <c r="L49" s="23">
        <v>156</v>
      </c>
      <c r="M49" s="5">
        <f t="shared" si="12"/>
        <v>41.880318934736501</v>
      </c>
      <c r="N49" s="4">
        <f t="shared" si="13"/>
        <v>75.984251968503941</v>
      </c>
      <c r="O49">
        <f t="shared" si="14"/>
        <v>6</v>
      </c>
      <c r="P49">
        <f t="shared" si="15"/>
        <v>4</v>
      </c>
      <c r="Q49" t="str">
        <f t="shared" si="16"/>
        <v>6' 4"</v>
      </c>
      <c r="R49">
        <f t="shared" si="17"/>
        <v>344</v>
      </c>
    </row>
    <row r="50" spans="1:18">
      <c r="A50" s="1" t="s">
        <v>166</v>
      </c>
      <c r="D50" t="s">
        <v>151</v>
      </c>
      <c r="E50" s="1" t="s">
        <v>151</v>
      </c>
      <c r="F50" s="1" t="s">
        <v>147</v>
      </c>
      <c r="G50" s="1" t="s">
        <v>192</v>
      </c>
      <c r="H50" s="1" t="s">
        <v>245</v>
      </c>
      <c r="I50" s="1" t="e">
        <f>_xlfn.XLOOKUP(H50,'rank lookup'!$A$1:$A$21,'rank lookup'!$B$1:$B$21,,0)</f>
        <v>#N/A</v>
      </c>
      <c r="J50" s="1"/>
      <c r="K50" s="23">
        <v>192</v>
      </c>
      <c r="L50" s="23">
        <v>159</v>
      </c>
      <c r="M50" s="5">
        <f t="shared" si="12"/>
        <v>43.131510416666671</v>
      </c>
      <c r="N50" s="4">
        <f t="shared" si="13"/>
        <v>75.59055118110237</v>
      </c>
      <c r="O50">
        <f t="shared" si="14"/>
        <v>6</v>
      </c>
      <c r="P50">
        <f t="shared" si="15"/>
        <v>3.6</v>
      </c>
      <c r="Q50" t="str">
        <f t="shared" si="16"/>
        <v>6' 3.6"</v>
      </c>
      <c r="R50">
        <f t="shared" si="17"/>
        <v>351</v>
      </c>
    </row>
    <row r="51" spans="1:18">
      <c r="A51" s="1" t="s">
        <v>87</v>
      </c>
      <c r="B51" s="1">
        <v>1</v>
      </c>
      <c r="C51" s="1" t="s">
        <v>142</v>
      </c>
      <c r="D51" s="1" t="s">
        <v>142</v>
      </c>
      <c r="E51" s="1" t="s">
        <v>147</v>
      </c>
      <c r="F51" s="1" t="s">
        <v>192</v>
      </c>
      <c r="G51" s="1" t="s">
        <v>232</v>
      </c>
      <c r="H51" s="1" t="s">
        <v>179</v>
      </c>
      <c r="I51" s="1" t="e">
        <f>_xlfn.XLOOKUP(H51,'rank lookup'!$A$1:$A$21,'rank lookup'!$B$1:$B$21,,0)</f>
        <v>#N/A</v>
      </c>
      <c r="J51" s="1"/>
      <c r="K51" s="23">
        <v>192</v>
      </c>
      <c r="L51" s="23">
        <v>189</v>
      </c>
      <c r="M51" s="5">
        <f t="shared" si="12"/>
        <v>51.26953125</v>
      </c>
      <c r="N51" s="4">
        <f t="shared" si="13"/>
        <v>75.59055118110237</v>
      </c>
      <c r="O51">
        <f t="shared" si="14"/>
        <v>6</v>
      </c>
      <c r="P51">
        <f t="shared" si="15"/>
        <v>3.6</v>
      </c>
      <c r="Q51" t="str">
        <f t="shared" si="16"/>
        <v>6' 3.6"</v>
      </c>
      <c r="R51">
        <f t="shared" si="17"/>
        <v>417</v>
      </c>
    </row>
    <row r="52" spans="1:18">
      <c r="A52" s="1" t="s">
        <v>90</v>
      </c>
      <c r="B52" s="1"/>
      <c r="C52" s="1" t="s">
        <v>148</v>
      </c>
      <c r="D52" s="1" t="s">
        <v>150</v>
      </c>
      <c r="E52" s="1" t="s">
        <v>148</v>
      </c>
      <c r="F52" s="1" t="s">
        <v>179</v>
      </c>
      <c r="G52" s="1"/>
      <c r="H52" s="1"/>
      <c r="I52" s="1" t="e">
        <f>_xlfn.XLOOKUP(H52,'rank lookup'!$A$1:$A$21,'rank lookup'!$B$1:$B$21,,0)</f>
        <v>#N/A</v>
      </c>
      <c r="J52" s="1"/>
      <c r="K52" s="23">
        <v>189</v>
      </c>
      <c r="L52" s="23">
        <v>161</v>
      </c>
      <c r="M52" s="5">
        <f t="shared" si="12"/>
        <v>45.071526553008034</v>
      </c>
      <c r="N52" s="4">
        <f t="shared" si="13"/>
        <v>74.409448818897644</v>
      </c>
      <c r="O52">
        <f t="shared" si="14"/>
        <v>6</v>
      </c>
      <c r="P52">
        <f t="shared" si="15"/>
        <v>2.4</v>
      </c>
      <c r="Q52" t="str">
        <f t="shared" si="16"/>
        <v>6' 2.4"</v>
      </c>
      <c r="R52">
        <f t="shared" si="17"/>
        <v>355</v>
      </c>
    </row>
    <row r="53" spans="1:18">
      <c r="A53" t="s">
        <v>119</v>
      </c>
      <c r="E53" s="1" t="s">
        <v>154</v>
      </c>
      <c r="F53" s="1" t="s">
        <v>169</v>
      </c>
      <c r="G53" s="1" t="s">
        <v>180</v>
      </c>
      <c r="H53" s="1" t="s">
        <v>246</v>
      </c>
      <c r="I53" s="1" t="e">
        <f>_xlfn.XLOOKUP(H53,'rank lookup'!$A$1:$A$21,'rank lookup'!$B$1:$B$21,,0)</f>
        <v>#N/A</v>
      </c>
      <c r="J53" s="1"/>
      <c r="K53" s="23">
        <v>178</v>
      </c>
      <c r="L53" s="23">
        <v>166</v>
      </c>
      <c r="M53" s="5">
        <f t="shared" si="12"/>
        <v>52.392374700164119</v>
      </c>
      <c r="N53" s="4">
        <f t="shared" si="13"/>
        <v>70.078740157480311</v>
      </c>
      <c r="O53">
        <f t="shared" si="14"/>
        <v>5</v>
      </c>
      <c r="P53">
        <f t="shared" si="15"/>
        <v>10.1</v>
      </c>
      <c r="Q53" t="str">
        <f t="shared" si="16"/>
        <v>5' 10.1"</v>
      </c>
      <c r="R53">
        <f t="shared" si="17"/>
        <v>366</v>
      </c>
    </row>
    <row r="54" spans="1:18">
      <c r="A54" s="1" t="s">
        <v>113</v>
      </c>
      <c r="B54" s="1"/>
      <c r="C54" s="1" t="s">
        <v>147</v>
      </c>
      <c r="D54" s="1" t="s">
        <v>148</v>
      </c>
      <c r="E54" s="1" t="s">
        <v>179</v>
      </c>
      <c r="F54" s="1"/>
      <c r="G54" s="1"/>
      <c r="H54" s="1"/>
      <c r="I54" s="1" t="e">
        <f>_xlfn.XLOOKUP(H54,'rank lookup'!$A$1:$A$21,'rank lookup'!$B$1:$B$21,,0)</f>
        <v>#N/A</v>
      </c>
      <c r="J54" s="1"/>
      <c r="K54" s="23">
        <v>181</v>
      </c>
      <c r="L54" s="23">
        <v>189</v>
      </c>
      <c r="M54" s="5">
        <f t="shared" si="12"/>
        <v>57.690546686609082</v>
      </c>
      <c r="N54" s="4">
        <f t="shared" si="13"/>
        <v>71.259842519685037</v>
      </c>
      <c r="O54">
        <f t="shared" si="14"/>
        <v>5</v>
      </c>
      <c r="P54">
        <f t="shared" si="15"/>
        <v>11.3</v>
      </c>
      <c r="Q54" t="str">
        <f t="shared" si="16"/>
        <v>5' 11.3"</v>
      </c>
      <c r="R54">
        <f t="shared" si="17"/>
        <v>417</v>
      </c>
    </row>
    <row r="55" spans="1:18">
      <c r="A55" s="1" t="s">
        <v>168</v>
      </c>
      <c r="D55" t="s">
        <v>152</v>
      </c>
      <c r="E55" s="1" t="s">
        <v>170</v>
      </c>
      <c r="F55" s="1" t="s">
        <v>187</v>
      </c>
      <c r="G55" s="1" t="s">
        <v>187</v>
      </c>
      <c r="H55" s="1" t="s">
        <v>241</v>
      </c>
      <c r="I55" s="1" t="e">
        <f>_xlfn.XLOOKUP(H55,'rank lookup'!$A$1:$A$21,'rank lookup'!$B$1:$B$21,,0)</f>
        <v>#N/A</v>
      </c>
      <c r="K55" s="23">
        <v>185</v>
      </c>
      <c r="L55" s="23">
        <v>174</v>
      </c>
      <c r="M55" s="5">
        <f t="shared" si="12"/>
        <v>50.840029218407601</v>
      </c>
      <c r="N55" s="4">
        <f t="shared" si="13"/>
        <v>72.834645669291348</v>
      </c>
      <c r="O55">
        <f t="shared" si="14"/>
        <v>6</v>
      </c>
      <c r="P55">
        <f t="shared" si="15"/>
        <v>0.8</v>
      </c>
      <c r="Q55" t="str">
        <f t="shared" si="16"/>
        <v>6' 0.8"</v>
      </c>
      <c r="R55">
        <f t="shared" si="17"/>
        <v>384</v>
      </c>
    </row>
    <row r="56" spans="1:18">
      <c r="A56" s="1" t="s">
        <v>126</v>
      </c>
      <c r="B56" s="1"/>
      <c r="C56" s="1" t="s">
        <v>152</v>
      </c>
      <c r="D56" s="1" t="s">
        <v>154</v>
      </c>
      <c r="E56" s="1" t="s">
        <v>180</v>
      </c>
      <c r="F56" s="1" t="s">
        <v>194</v>
      </c>
      <c r="G56" s="1" t="s">
        <v>233</v>
      </c>
      <c r="H56" s="1"/>
      <c r="I56" s="1" t="e">
        <f>_xlfn.XLOOKUP(H56,'rank lookup'!$A$1:$A$21,'rank lookup'!$B$1:$B$21,,0)</f>
        <v>#N/A</v>
      </c>
      <c r="J56" s="1"/>
      <c r="K56" s="23">
        <v>169</v>
      </c>
      <c r="L56" s="23">
        <v>107</v>
      </c>
      <c r="M56" s="5">
        <f t="shared" si="12"/>
        <v>37.463674241098005</v>
      </c>
      <c r="N56" s="4">
        <f t="shared" si="13"/>
        <v>66.535433070866134</v>
      </c>
      <c r="O56">
        <f t="shared" si="14"/>
        <v>5</v>
      </c>
      <c r="P56">
        <f t="shared" si="15"/>
        <v>6.5</v>
      </c>
      <c r="Q56" t="str">
        <f t="shared" si="16"/>
        <v>5' 6.5"</v>
      </c>
      <c r="R56">
        <f t="shared" si="17"/>
        <v>236</v>
      </c>
    </row>
    <row r="57" spans="1:18">
      <c r="A57" s="1" t="s">
        <v>107</v>
      </c>
      <c r="B57" s="1"/>
      <c r="C57" s="1" t="s">
        <v>151</v>
      </c>
      <c r="D57" s="1" t="s">
        <v>169</v>
      </c>
      <c r="E57" s="1" t="s">
        <v>179</v>
      </c>
      <c r="F57" s="1"/>
      <c r="G57" s="1"/>
      <c r="H57" s="1"/>
      <c r="I57" s="1" t="e">
        <f>_xlfn.XLOOKUP(H57,'rank lookup'!$A$1:$A$21,'rank lookup'!$B$1:$B$21,,0)</f>
        <v>#N/A</v>
      </c>
      <c r="J57" s="1"/>
      <c r="K57" s="23">
        <v>185</v>
      </c>
      <c r="L57" s="23">
        <v>181</v>
      </c>
      <c r="M57" s="5">
        <f t="shared" si="12"/>
        <v>52.885317750182615</v>
      </c>
      <c r="N57" s="4">
        <f t="shared" si="13"/>
        <v>72.834645669291348</v>
      </c>
      <c r="O57">
        <f t="shared" si="14"/>
        <v>6</v>
      </c>
      <c r="P57">
        <f t="shared" si="15"/>
        <v>0.8</v>
      </c>
      <c r="Q57" t="str">
        <f t="shared" si="16"/>
        <v>6' 0.8"</v>
      </c>
      <c r="R57">
        <f t="shared" si="17"/>
        <v>399</v>
      </c>
    </row>
    <row r="58" spans="1:18">
      <c r="A58" s="1" t="s">
        <v>248</v>
      </c>
      <c r="K58" s="23">
        <v>190.5</v>
      </c>
      <c r="L58" s="23">
        <v>97.5</v>
      </c>
      <c r="M58" s="5">
        <f t="shared" si="12"/>
        <v>26.866720400107468</v>
      </c>
      <c r="N58" s="4">
        <f t="shared" si="13"/>
        <v>75</v>
      </c>
      <c r="O58">
        <f t="shared" si="14"/>
        <v>6</v>
      </c>
      <c r="P58">
        <f t="shared" si="15"/>
        <v>3</v>
      </c>
      <c r="Q58" t="str">
        <f t="shared" si="16"/>
        <v>6' 3"</v>
      </c>
      <c r="R58">
        <f t="shared" si="17"/>
        <v>215</v>
      </c>
    </row>
  </sheetData>
  <autoFilter ref="A3:R55" xr:uid="{7067DD38-AD06-4250-9520-A2F29B57D9C0}">
    <sortState xmlns:xlrd2="http://schemas.microsoft.com/office/spreadsheetml/2017/richdata2" ref="A4:R57">
      <sortCondition ref="I3:I55"/>
    </sortState>
  </autoFilter>
  <hyperlinks>
    <hyperlink ref="C2" r:id="rId1" xr:uid="{7CA43C36-6E42-4EBE-93D2-AE22141CFDEB}"/>
    <hyperlink ref="K2" r:id="rId2" xr:uid="{A9FEE77A-E0AF-4A7D-8FA4-53B11415E245}"/>
  </hyperlinks>
  <pageMargins left="0.7" right="0.7" top="0.75" bottom="0.75" header="0.3" footer="0.3"/>
  <pageSetup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59DD3-A743-44FD-8EF9-DF7931E6D2C5}">
  <dimension ref="A1:AE58"/>
  <sheetViews>
    <sheetView zoomScaleNormal="100" workbookViewId="0">
      <pane xSplit="1" ySplit="3" topLeftCell="K25" activePane="bottomRight" state="frozen"/>
      <selection pane="topRight" activeCell="B1" sqref="B1"/>
      <selection pane="bottomLeft" activeCell="A4" sqref="A4"/>
      <selection pane="bottomRight" activeCell="K50" sqref="K50"/>
    </sheetView>
  </sheetViews>
  <sheetFormatPr defaultRowHeight="14.5" outlineLevelCol="1"/>
  <cols>
    <col min="1" max="1" width="21.1796875" customWidth="1"/>
    <col min="2" max="8" width="21.1796875" hidden="1" customWidth="1" outlineLevel="1"/>
    <col min="9" max="9" width="21.1796875" customWidth="1" collapsed="1"/>
    <col min="10" max="11" width="21.1796875" customWidth="1"/>
    <col min="14" max="14" width="11.26953125" bestFit="1" customWidth="1"/>
    <col min="15" max="15" width="8.7265625" style="4"/>
    <col min="22" max="22" width="9.54296875" customWidth="1"/>
  </cols>
  <sheetData>
    <row r="1" spans="1:31">
      <c r="C1" t="s">
        <v>174</v>
      </c>
      <c r="L1" t="s">
        <v>251</v>
      </c>
    </row>
    <row r="2" spans="1:31">
      <c r="C2" s="17" t="s">
        <v>162</v>
      </c>
      <c r="D2" s="17"/>
      <c r="E2" s="17"/>
      <c r="F2" s="17"/>
      <c r="G2" s="17"/>
      <c r="H2" s="17"/>
      <c r="I2" s="17"/>
      <c r="L2" s="17" t="s">
        <v>134</v>
      </c>
      <c r="T2">
        <f>MAX(T4:T45)</f>
        <v>42</v>
      </c>
      <c r="U2">
        <f>MAX(U4:U45)</f>
        <v>42</v>
      </c>
      <c r="V2">
        <f>MAX(V4:V45)</f>
        <v>42</v>
      </c>
    </row>
    <row r="3" spans="1:31">
      <c r="A3" t="s">
        <v>3</v>
      </c>
      <c r="B3" t="s">
        <v>11</v>
      </c>
      <c r="C3" t="s">
        <v>131</v>
      </c>
      <c r="D3" t="s">
        <v>163</v>
      </c>
      <c r="E3" t="s">
        <v>175</v>
      </c>
      <c r="F3" t="s">
        <v>185</v>
      </c>
      <c r="G3" t="s">
        <v>230</v>
      </c>
      <c r="H3" t="s">
        <v>237</v>
      </c>
      <c r="I3" t="s">
        <v>249</v>
      </c>
      <c r="J3" t="s">
        <v>177</v>
      </c>
      <c r="K3" t="s">
        <v>250</v>
      </c>
      <c r="L3" t="s">
        <v>5</v>
      </c>
      <c r="M3" t="s">
        <v>4</v>
      </c>
      <c r="N3" t="s">
        <v>26</v>
      </c>
      <c r="O3" s="4" t="s">
        <v>6</v>
      </c>
      <c r="P3" t="s">
        <v>7</v>
      </c>
      <c r="Q3" t="s">
        <v>8</v>
      </c>
      <c r="R3" t="s">
        <v>9</v>
      </c>
      <c r="S3" t="s">
        <v>10</v>
      </c>
      <c r="T3" t="s">
        <v>171</v>
      </c>
      <c r="U3" t="s">
        <v>172</v>
      </c>
      <c r="V3" t="s">
        <v>173</v>
      </c>
      <c r="X3" t="s">
        <v>5</v>
      </c>
      <c r="Y3" t="s">
        <v>4</v>
      </c>
      <c r="Z3" t="s">
        <v>26</v>
      </c>
      <c r="AA3" s="4" t="s">
        <v>6</v>
      </c>
      <c r="AB3" t="s">
        <v>7</v>
      </c>
      <c r="AC3" t="s">
        <v>8</v>
      </c>
      <c r="AD3" t="s">
        <v>9</v>
      </c>
      <c r="AE3" t="s">
        <v>10</v>
      </c>
    </row>
    <row r="4" spans="1:31">
      <c r="A4" s="1" t="s">
        <v>86</v>
      </c>
      <c r="B4" s="1">
        <v>8</v>
      </c>
      <c r="C4" s="1" t="s">
        <v>14</v>
      </c>
      <c r="D4" s="1" t="s">
        <v>14</v>
      </c>
      <c r="E4" s="1" t="s">
        <v>14</v>
      </c>
      <c r="F4" s="1" t="s">
        <v>14</v>
      </c>
      <c r="G4" s="1" t="s">
        <v>14</v>
      </c>
      <c r="H4" s="1" t="s">
        <v>14</v>
      </c>
      <c r="I4" s="1" t="s">
        <v>14</v>
      </c>
      <c r="J4" s="1">
        <f>_xlfn.XLOOKUP(I4,'rank lookup'!$A$1:$A$21,'rank lookup'!$B$1:$B$21,,0)</f>
        <v>1</v>
      </c>
      <c r="K4" s="1"/>
      <c r="L4" s="25">
        <v>192</v>
      </c>
      <c r="M4" s="25">
        <v>174</v>
      </c>
      <c r="N4" s="5">
        <f t="shared" ref="N4:N58" si="0">M4/(L4*L4)*10000</f>
        <v>47.200520833333329</v>
      </c>
      <c r="O4" s="4">
        <f t="shared" ref="O4:O58" si="1">CONVERT(L4,"cm","in")</f>
        <v>75.59055118110237</v>
      </c>
      <c r="P4">
        <f t="shared" ref="P4:P58" si="2">_xlfn.FLOOR.MATH(O4/12)</f>
        <v>6</v>
      </c>
      <c r="Q4">
        <f t="shared" ref="Q4:Q58" si="3">ROUND(O4-P4*12,1)</f>
        <v>3.6</v>
      </c>
      <c r="R4" t="str">
        <f t="shared" ref="R4:R58" si="4">P4&amp;"' "&amp;Q4&amp;""""</f>
        <v>6' 3.6"</v>
      </c>
      <c r="S4">
        <f t="shared" ref="S4:S58" si="5">ROUND(CONVERT(M4,"kg","lbm"),0)</f>
        <v>384</v>
      </c>
      <c r="T4">
        <f>_xlfn.RANK.EQ(L4,L$4:L$45)</f>
        <v>4</v>
      </c>
      <c r="U4">
        <f>_xlfn.RANK.EQ(M4,M$4:M$45)</f>
        <v>12</v>
      </c>
      <c r="V4">
        <f>_xlfn.RANK.EQ(N4,N$4:N$45)</f>
        <v>22</v>
      </c>
      <c r="X4">
        <f>L22-L16</f>
        <v>4</v>
      </c>
      <c r="Y4">
        <f t="shared" ref="Y4:AE4" si="6">M22-M16</f>
        <v>18</v>
      </c>
      <c r="Z4">
        <f t="shared" si="6"/>
        <v>2.9030682799165746</v>
      </c>
      <c r="AA4">
        <f t="shared" si="6"/>
        <v>1.5748031496062964</v>
      </c>
      <c r="AB4">
        <f t="shared" si="6"/>
        <v>0</v>
      </c>
      <c r="AC4">
        <f t="shared" si="6"/>
        <v>1.6</v>
      </c>
      <c r="AD4" t="e">
        <f t="shared" si="6"/>
        <v>#VALUE!</v>
      </c>
      <c r="AE4">
        <f t="shared" si="6"/>
        <v>40</v>
      </c>
    </row>
    <row r="5" spans="1:31">
      <c r="A5" s="1" t="s">
        <v>123</v>
      </c>
      <c r="B5" s="1">
        <v>2</v>
      </c>
      <c r="C5" s="1" t="s">
        <v>39</v>
      </c>
      <c r="D5" s="1" t="s">
        <v>39</v>
      </c>
      <c r="E5" s="1" t="s">
        <v>39</v>
      </c>
      <c r="F5" s="1" t="s">
        <v>39</v>
      </c>
      <c r="G5" s="1" t="s">
        <v>39</v>
      </c>
      <c r="H5" s="1" t="s">
        <v>39</v>
      </c>
      <c r="I5" s="1" t="s">
        <v>39</v>
      </c>
      <c r="J5" s="1">
        <f>_xlfn.XLOOKUP(I5,'rank lookup'!$A$1:$A$21,'rank lookup'!$B$1:$B$21,,0)</f>
        <v>2</v>
      </c>
      <c r="K5" s="1"/>
      <c r="L5" s="25">
        <v>175</v>
      </c>
      <c r="M5" s="25">
        <v>165</v>
      </c>
      <c r="N5" s="5">
        <f t="shared" si="0"/>
        <v>53.877551020408163</v>
      </c>
      <c r="O5" s="4">
        <f t="shared" si="1"/>
        <v>68.897637795275585</v>
      </c>
      <c r="P5">
        <f t="shared" si="2"/>
        <v>5</v>
      </c>
      <c r="Q5">
        <f t="shared" si="3"/>
        <v>8.9</v>
      </c>
      <c r="R5" t="str">
        <f t="shared" si="4"/>
        <v>5' 8.9"</v>
      </c>
      <c r="S5">
        <f t="shared" si="5"/>
        <v>364</v>
      </c>
      <c r="T5">
        <f t="shared" ref="T5:V45" si="7">_xlfn.RANK.EQ(L5,L$4:L$45)</f>
        <v>39</v>
      </c>
      <c r="U5">
        <f t="shared" si="7"/>
        <v>18</v>
      </c>
      <c r="V5">
        <f t="shared" si="7"/>
        <v>3</v>
      </c>
    </row>
    <row r="6" spans="1:31">
      <c r="A6" s="1" t="s">
        <v>239</v>
      </c>
      <c r="B6" s="1"/>
      <c r="C6" s="1" t="s">
        <v>42</v>
      </c>
      <c r="D6" s="1" t="s">
        <v>42</v>
      </c>
      <c r="E6" s="1" t="s">
        <v>42</v>
      </c>
      <c r="F6" s="1" t="s">
        <v>31</v>
      </c>
      <c r="G6" s="1" t="s">
        <v>31</v>
      </c>
      <c r="H6" s="1" t="s">
        <v>39</v>
      </c>
      <c r="I6" s="1" t="s">
        <v>39</v>
      </c>
      <c r="J6" s="1">
        <f>_xlfn.XLOOKUP(I6,'rank lookup'!$A$1:$A$21,'rank lookup'!$B$1:$B$21,,0)</f>
        <v>2</v>
      </c>
      <c r="K6" s="1"/>
      <c r="L6" s="25">
        <v>186</v>
      </c>
      <c r="M6" s="25">
        <v>143</v>
      </c>
      <c r="N6" s="5">
        <f t="shared" si="0"/>
        <v>41.334258295756733</v>
      </c>
      <c r="O6" s="4">
        <f t="shared" si="1"/>
        <v>73.228346456692918</v>
      </c>
      <c r="P6">
        <f t="shared" si="2"/>
        <v>6</v>
      </c>
      <c r="Q6">
        <f t="shared" si="3"/>
        <v>1.2</v>
      </c>
      <c r="R6" t="str">
        <f t="shared" si="4"/>
        <v>6' 1.2"</v>
      </c>
      <c r="S6">
        <f t="shared" si="5"/>
        <v>315</v>
      </c>
      <c r="T6">
        <f t="shared" si="7"/>
        <v>17</v>
      </c>
      <c r="U6">
        <f t="shared" si="7"/>
        <v>34</v>
      </c>
      <c r="V6">
        <f t="shared" si="7"/>
        <v>39</v>
      </c>
    </row>
    <row r="7" spans="1:31">
      <c r="A7" s="1" t="s">
        <v>95</v>
      </c>
      <c r="B7" s="1">
        <v>1</v>
      </c>
      <c r="C7" s="1" t="s">
        <v>31</v>
      </c>
      <c r="D7" s="1" t="s">
        <v>31</v>
      </c>
      <c r="E7" s="1" t="s">
        <v>31</v>
      </c>
      <c r="F7" s="1" t="s">
        <v>31</v>
      </c>
      <c r="G7" s="1" t="s">
        <v>31</v>
      </c>
      <c r="H7" s="1" t="s">
        <v>31</v>
      </c>
      <c r="I7" s="1" t="s">
        <v>39</v>
      </c>
      <c r="J7" s="1">
        <f>_xlfn.XLOOKUP(I7,'rank lookup'!$A$1:$A$21,'rank lookup'!$B$1:$B$21,,0)</f>
        <v>2</v>
      </c>
      <c r="K7" s="1"/>
      <c r="L7" s="25">
        <v>188</v>
      </c>
      <c r="M7" s="25">
        <v>142</v>
      </c>
      <c r="N7" s="5">
        <f t="shared" si="0"/>
        <v>40.176550475328199</v>
      </c>
      <c r="O7" s="4">
        <f t="shared" si="1"/>
        <v>74.015748031496059</v>
      </c>
      <c r="P7">
        <f t="shared" si="2"/>
        <v>6</v>
      </c>
      <c r="Q7">
        <f t="shared" si="3"/>
        <v>2</v>
      </c>
      <c r="R7" t="str">
        <f t="shared" si="4"/>
        <v>6' 2"</v>
      </c>
      <c r="S7">
        <f t="shared" si="5"/>
        <v>313</v>
      </c>
      <c r="T7">
        <f t="shared" si="7"/>
        <v>12</v>
      </c>
      <c r="U7">
        <f t="shared" si="7"/>
        <v>36</v>
      </c>
      <c r="V7">
        <f t="shared" si="7"/>
        <v>41</v>
      </c>
    </row>
    <row r="8" spans="1:31">
      <c r="A8" s="1" t="s">
        <v>100</v>
      </c>
      <c r="B8" s="1"/>
      <c r="C8" s="1" t="s">
        <v>141</v>
      </c>
      <c r="D8" s="1" t="s">
        <v>139</v>
      </c>
      <c r="E8" s="1" t="s">
        <v>42</v>
      </c>
      <c r="F8" s="1" t="s">
        <v>42</v>
      </c>
      <c r="G8" s="1" t="s">
        <v>31</v>
      </c>
      <c r="H8" s="1" t="s">
        <v>31</v>
      </c>
      <c r="I8" s="1" t="s">
        <v>31</v>
      </c>
      <c r="J8" s="1">
        <f>_xlfn.XLOOKUP(I8,'rank lookup'!$A$1:$A$21,'rank lookup'!$B$1:$B$21,,0)</f>
        <v>3</v>
      </c>
      <c r="K8" s="1"/>
      <c r="L8" s="25">
        <v>187</v>
      </c>
      <c r="M8" s="25">
        <v>147</v>
      </c>
      <c r="N8" s="5">
        <f t="shared" si="0"/>
        <v>42.03723297778032</v>
      </c>
      <c r="O8" s="4">
        <f t="shared" si="1"/>
        <v>73.622047244094489</v>
      </c>
      <c r="P8">
        <f t="shared" si="2"/>
        <v>6</v>
      </c>
      <c r="Q8">
        <f t="shared" si="3"/>
        <v>1.6</v>
      </c>
      <c r="R8" t="str">
        <f t="shared" si="4"/>
        <v>6' 1.6"</v>
      </c>
      <c r="S8">
        <f t="shared" si="5"/>
        <v>324</v>
      </c>
      <c r="T8">
        <f t="shared" si="7"/>
        <v>16</v>
      </c>
      <c r="U8">
        <f t="shared" si="7"/>
        <v>33</v>
      </c>
      <c r="V8">
        <f t="shared" si="7"/>
        <v>37</v>
      </c>
    </row>
    <row r="9" spans="1:31">
      <c r="A9" s="1" t="s">
        <v>112</v>
      </c>
      <c r="B9" s="1">
        <v>1</v>
      </c>
      <c r="C9" s="1" t="s">
        <v>31</v>
      </c>
      <c r="D9" s="1" t="s">
        <v>42</v>
      </c>
      <c r="E9" s="1" t="s">
        <v>132</v>
      </c>
      <c r="F9" s="1" t="s">
        <v>42</v>
      </c>
      <c r="G9" s="1" t="s">
        <v>31</v>
      </c>
      <c r="H9" s="1" t="s">
        <v>31</v>
      </c>
      <c r="I9" s="1" t="s">
        <v>31</v>
      </c>
      <c r="J9" s="1">
        <f>_xlfn.XLOOKUP(I9,'rank lookup'!$A$1:$A$21,'rank lookup'!$B$1:$B$21,,0)</f>
        <v>3</v>
      </c>
      <c r="K9" s="1"/>
      <c r="L9" s="25">
        <v>182</v>
      </c>
      <c r="M9" s="25">
        <v>164</v>
      </c>
      <c r="N9" s="5">
        <f t="shared" si="0"/>
        <v>49.510928631807751</v>
      </c>
      <c r="O9" s="4">
        <f t="shared" si="1"/>
        <v>71.653543307086608</v>
      </c>
      <c r="P9">
        <f t="shared" si="2"/>
        <v>5</v>
      </c>
      <c r="Q9">
        <f t="shared" si="3"/>
        <v>11.7</v>
      </c>
      <c r="R9" t="str">
        <f t="shared" si="4"/>
        <v>5' 11.7"</v>
      </c>
      <c r="S9">
        <f t="shared" si="5"/>
        <v>362</v>
      </c>
      <c r="T9">
        <f t="shared" si="7"/>
        <v>30</v>
      </c>
      <c r="U9">
        <f t="shared" si="7"/>
        <v>20</v>
      </c>
      <c r="V9">
        <f t="shared" si="7"/>
        <v>13</v>
      </c>
    </row>
    <row r="10" spans="1:31">
      <c r="A10" s="1" t="s">
        <v>94</v>
      </c>
      <c r="B10" s="1"/>
      <c r="C10" s="1" t="s">
        <v>136</v>
      </c>
      <c r="D10" s="1" t="s">
        <v>132</v>
      </c>
      <c r="E10" s="1" t="s">
        <v>42</v>
      </c>
      <c r="F10" s="1" t="s">
        <v>42</v>
      </c>
      <c r="G10" s="1" t="s">
        <v>42</v>
      </c>
      <c r="H10" s="1" t="s">
        <v>42</v>
      </c>
      <c r="I10" s="1" t="s">
        <v>31</v>
      </c>
      <c r="J10" s="1">
        <f>_xlfn.XLOOKUP(I10,'rank lookup'!$A$1:$A$21,'rank lookup'!$B$1:$B$21,,0)</f>
        <v>3</v>
      </c>
      <c r="K10" s="1"/>
      <c r="L10" s="25">
        <v>189</v>
      </c>
      <c r="M10" s="25">
        <v>176</v>
      </c>
      <c r="N10" s="5">
        <f t="shared" si="0"/>
        <v>49.270737101424935</v>
      </c>
      <c r="O10" s="4">
        <f t="shared" si="1"/>
        <v>74.409448818897644</v>
      </c>
      <c r="P10">
        <f t="shared" si="2"/>
        <v>6</v>
      </c>
      <c r="Q10">
        <f t="shared" si="3"/>
        <v>2.4</v>
      </c>
      <c r="R10" t="str">
        <f t="shared" si="4"/>
        <v>6' 2.4"</v>
      </c>
      <c r="S10">
        <f t="shared" si="5"/>
        <v>388</v>
      </c>
      <c r="T10">
        <f t="shared" si="7"/>
        <v>9</v>
      </c>
      <c r="U10">
        <f t="shared" si="7"/>
        <v>10</v>
      </c>
      <c r="V10">
        <f t="shared" si="7"/>
        <v>16</v>
      </c>
    </row>
    <row r="11" spans="1:31">
      <c r="A11" s="1" t="s">
        <v>124</v>
      </c>
      <c r="B11" s="1"/>
      <c r="C11" s="1" t="s">
        <v>132</v>
      </c>
      <c r="D11" s="1" t="s">
        <v>42</v>
      </c>
      <c r="E11" s="1" t="s">
        <v>132</v>
      </c>
      <c r="F11" s="1" t="s">
        <v>42</v>
      </c>
      <c r="G11" s="1" t="s">
        <v>137</v>
      </c>
      <c r="H11" s="1" t="s">
        <v>132</v>
      </c>
      <c r="I11" s="1" t="s">
        <v>42</v>
      </c>
      <c r="J11" s="1">
        <f>_xlfn.XLOOKUP(I11,'rank lookup'!$A$1:$A$21,'rank lookup'!$B$1:$B$21,,0)</f>
        <v>4</v>
      </c>
      <c r="K11" s="1"/>
      <c r="L11" s="25">
        <v>174</v>
      </c>
      <c r="M11" s="25">
        <v>135</v>
      </c>
      <c r="N11" s="5">
        <f t="shared" si="0"/>
        <v>44.589774078478001</v>
      </c>
      <c r="O11" s="4">
        <f t="shared" si="1"/>
        <v>68.503937007874015</v>
      </c>
      <c r="P11">
        <f t="shared" si="2"/>
        <v>5</v>
      </c>
      <c r="Q11">
        <f t="shared" si="3"/>
        <v>8.5</v>
      </c>
      <c r="R11" t="str">
        <f t="shared" si="4"/>
        <v>5' 8.5"</v>
      </c>
      <c r="S11">
        <f t="shared" si="5"/>
        <v>298</v>
      </c>
      <c r="T11">
        <f t="shared" si="7"/>
        <v>41</v>
      </c>
      <c r="U11">
        <f t="shared" si="7"/>
        <v>39</v>
      </c>
      <c r="V11">
        <f t="shared" si="7"/>
        <v>27</v>
      </c>
    </row>
    <row r="12" spans="1:31">
      <c r="A12" s="1" t="s">
        <v>138</v>
      </c>
      <c r="C12" s="1" t="s">
        <v>139</v>
      </c>
      <c r="D12" s="1" t="s">
        <v>141</v>
      </c>
      <c r="E12" s="1" t="s">
        <v>140</v>
      </c>
      <c r="F12" s="1" t="s">
        <v>137</v>
      </c>
      <c r="G12" s="1" t="s">
        <v>139</v>
      </c>
      <c r="H12" s="1" t="s">
        <v>132</v>
      </c>
      <c r="I12" s="1" t="s">
        <v>42</v>
      </c>
      <c r="J12" s="1">
        <f>_xlfn.XLOOKUP(I12,'rank lookup'!$A$1:$A$21,'rank lookup'!$B$1:$B$21,,0)</f>
        <v>4</v>
      </c>
      <c r="K12" s="1"/>
      <c r="L12" s="25">
        <v>185</v>
      </c>
      <c r="M12" s="25">
        <v>180</v>
      </c>
      <c r="N12" s="5">
        <f t="shared" si="0"/>
        <v>52.593133674214762</v>
      </c>
      <c r="O12" s="4">
        <f t="shared" si="1"/>
        <v>72.834645669291348</v>
      </c>
      <c r="P12">
        <f t="shared" si="2"/>
        <v>6</v>
      </c>
      <c r="Q12">
        <f t="shared" si="3"/>
        <v>0.8</v>
      </c>
      <c r="R12" t="str">
        <f t="shared" si="4"/>
        <v>6' 0.8"</v>
      </c>
      <c r="S12">
        <f t="shared" si="5"/>
        <v>397</v>
      </c>
      <c r="T12">
        <f t="shared" si="7"/>
        <v>20</v>
      </c>
      <c r="U12">
        <f t="shared" si="7"/>
        <v>8</v>
      </c>
      <c r="V12">
        <f t="shared" si="7"/>
        <v>6</v>
      </c>
    </row>
    <row r="13" spans="1:31">
      <c r="A13" s="1" t="s">
        <v>117</v>
      </c>
      <c r="B13" s="1"/>
      <c r="C13" s="1" t="s">
        <v>136</v>
      </c>
      <c r="D13" s="1" t="s">
        <v>136</v>
      </c>
      <c r="E13" s="1" t="s">
        <v>42</v>
      </c>
      <c r="F13" s="1" t="s">
        <v>139</v>
      </c>
      <c r="G13" s="1" t="s">
        <v>141</v>
      </c>
      <c r="H13" s="1" t="s">
        <v>137</v>
      </c>
      <c r="I13" s="1" t="s">
        <v>132</v>
      </c>
      <c r="J13" s="1">
        <f>_xlfn.XLOOKUP(I13,'rank lookup'!$A$1:$A$21,'rank lookup'!$B$1:$B$21,,0)</f>
        <v>5</v>
      </c>
      <c r="K13" s="1"/>
      <c r="L13" s="25">
        <v>180</v>
      </c>
      <c r="M13" s="25">
        <v>154</v>
      </c>
      <c r="N13" s="5">
        <f t="shared" si="0"/>
        <v>47.530864197530867</v>
      </c>
      <c r="O13" s="4">
        <f t="shared" si="1"/>
        <v>70.866141732283467</v>
      </c>
      <c r="P13">
        <f t="shared" si="2"/>
        <v>5</v>
      </c>
      <c r="Q13">
        <f t="shared" si="3"/>
        <v>10.9</v>
      </c>
      <c r="R13" t="str">
        <f t="shared" si="4"/>
        <v>5' 10.9"</v>
      </c>
      <c r="S13">
        <f t="shared" si="5"/>
        <v>340</v>
      </c>
      <c r="T13">
        <f t="shared" si="7"/>
        <v>33</v>
      </c>
      <c r="U13">
        <f t="shared" si="7"/>
        <v>29</v>
      </c>
      <c r="V13">
        <f t="shared" si="7"/>
        <v>21</v>
      </c>
    </row>
    <row r="14" spans="1:31">
      <c r="A14" s="1" t="s">
        <v>103</v>
      </c>
      <c r="B14" s="1"/>
      <c r="C14" s="1" t="s">
        <v>142</v>
      </c>
      <c r="D14" s="1" t="s">
        <v>140</v>
      </c>
      <c r="E14" s="1" t="s">
        <v>141</v>
      </c>
      <c r="F14" s="1" t="s">
        <v>135</v>
      </c>
      <c r="G14" s="1" t="s">
        <v>135</v>
      </c>
      <c r="H14" s="1" t="s">
        <v>143</v>
      </c>
      <c r="I14" s="1" t="s">
        <v>132</v>
      </c>
      <c r="J14" s="1">
        <f>_xlfn.XLOOKUP(I14,'rank lookup'!$A$1:$A$21,'rank lookup'!$B$1:$B$21,,0)</f>
        <v>5</v>
      </c>
      <c r="K14" s="1"/>
      <c r="L14" s="25">
        <v>184</v>
      </c>
      <c r="M14" s="25">
        <v>158</v>
      </c>
      <c r="N14" s="5">
        <f t="shared" si="0"/>
        <v>46.668241965973536</v>
      </c>
      <c r="O14" s="4">
        <f t="shared" si="1"/>
        <v>72.440944881889763</v>
      </c>
      <c r="P14">
        <f t="shared" si="2"/>
        <v>6</v>
      </c>
      <c r="Q14">
        <f t="shared" si="3"/>
        <v>0.4</v>
      </c>
      <c r="R14" t="str">
        <f t="shared" si="4"/>
        <v>6' 0.4"</v>
      </c>
      <c r="S14">
        <f t="shared" si="5"/>
        <v>348</v>
      </c>
      <c r="T14">
        <f t="shared" si="7"/>
        <v>24</v>
      </c>
      <c r="U14">
        <f t="shared" si="7"/>
        <v>24</v>
      </c>
      <c r="V14">
        <f t="shared" si="7"/>
        <v>25</v>
      </c>
    </row>
    <row r="15" spans="1:31">
      <c r="A15" s="1" t="s">
        <v>93</v>
      </c>
      <c r="B15" s="1">
        <v>1</v>
      </c>
      <c r="C15" s="1" t="s">
        <v>42</v>
      </c>
      <c r="D15" s="1" t="s">
        <v>143</v>
      </c>
      <c r="E15" s="1" t="s">
        <v>137</v>
      </c>
      <c r="F15" s="1" t="s">
        <v>136</v>
      </c>
      <c r="G15" s="1" t="s">
        <v>132</v>
      </c>
      <c r="H15" s="1" t="s">
        <v>42</v>
      </c>
      <c r="I15" s="1" t="s">
        <v>136</v>
      </c>
      <c r="J15" s="1">
        <f>_xlfn.XLOOKUP(I15,'rank lookup'!$A$1:$A$21,'rank lookup'!$B$1:$B$21,,0)</f>
        <v>6</v>
      </c>
      <c r="K15" s="1"/>
      <c r="L15" s="25">
        <v>186</v>
      </c>
      <c r="M15" s="25">
        <v>158</v>
      </c>
      <c r="N15" s="5">
        <f t="shared" si="0"/>
        <v>45.670019655451505</v>
      </c>
      <c r="O15" s="4">
        <f t="shared" si="1"/>
        <v>73.228346456692918</v>
      </c>
      <c r="P15">
        <f t="shared" si="2"/>
        <v>6</v>
      </c>
      <c r="Q15">
        <f t="shared" si="3"/>
        <v>1.2</v>
      </c>
      <c r="R15" t="str">
        <f t="shared" si="4"/>
        <v>6' 1.2"</v>
      </c>
      <c r="S15">
        <f t="shared" si="5"/>
        <v>348</v>
      </c>
      <c r="T15">
        <f t="shared" si="7"/>
        <v>17</v>
      </c>
      <c r="U15">
        <f t="shared" si="7"/>
        <v>24</v>
      </c>
      <c r="V15">
        <f t="shared" si="7"/>
        <v>26</v>
      </c>
    </row>
    <row r="16" spans="1:31">
      <c r="A16" s="1" t="s">
        <v>231</v>
      </c>
      <c r="G16" t="s">
        <v>151</v>
      </c>
      <c r="H16" t="s">
        <v>139</v>
      </c>
      <c r="I16" t="s">
        <v>136</v>
      </c>
      <c r="J16" s="1">
        <f>_xlfn.XLOOKUP(I16,'rank lookup'!$A$1:$A$21,'rank lookup'!$B$1:$B$21,,0)</f>
        <v>6</v>
      </c>
      <c r="L16" s="25">
        <v>189</v>
      </c>
      <c r="M16" s="25">
        <v>168</v>
      </c>
      <c r="N16" s="5">
        <f t="shared" si="0"/>
        <v>47.031158142269256</v>
      </c>
      <c r="O16" s="4">
        <f t="shared" si="1"/>
        <v>74.409448818897644</v>
      </c>
      <c r="P16">
        <f t="shared" si="2"/>
        <v>6</v>
      </c>
      <c r="Q16">
        <f t="shared" si="3"/>
        <v>2.4</v>
      </c>
      <c r="R16" t="str">
        <f t="shared" si="4"/>
        <v>6' 2.4"</v>
      </c>
      <c r="S16">
        <f t="shared" si="5"/>
        <v>370</v>
      </c>
      <c r="T16">
        <f t="shared" si="7"/>
        <v>9</v>
      </c>
      <c r="U16">
        <f t="shared" si="7"/>
        <v>17</v>
      </c>
      <c r="V16">
        <f t="shared" si="7"/>
        <v>23</v>
      </c>
    </row>
    <row r="17" spans="1:22">
      <c r="A17" s="1" t="s">
        <v>109</v>
      </c>
      <c r="B17" s="1">
        <v>1</v>
      </c>
      <c r="C17" s="1" t="s">
        <v>39</v>
      </c>
      <c r="D17" s="1" t="s">
        <v>39</v>
      </c>
      <c r="E17" s="1" t="s">
        <v>31</v>
      </c>
      <c r="F17" s="1" t="s">
        <v>132</v>
      </c>
      <c r="G17" s="1" t="s">
        <v>42</v>
      </c>
      <c r="H17" s="1" t="s">
        <v>136</v>
      </c>
      <c r="I17" s="1" t="s">
        <v>137</v>
      </c>
      <c r="J17" s="1">
        <f>_xlfn.XLOOKUP(I17,'rank lookup'!$A$1:$A$21,'rank lookup'!$B$1:$B$21,,0)</f>
        <v>7</v>
      </c>
      <c r="K17" s="1"/>
      <c r="L17" s="25">
        <v>184</v>
      </c>
      <c r="M17" s="25">
        <v>161</v>
      </c>
      <c r="N17" s="5">
        <f t="shared" si="0"/>
        <v>47.554347826086961</v>
      </c>
      <c r="O17" s="4">
        <f t="shared" si="1"/>
        <v>72.440944881889763</v>
      </c>
      <c r="P17">
        <f t="shared" si="2"/>
        <v>6</v>
      </c>
      <c r="Q17">
        <f t="shared" si="3"/>
        <v>0.4</v>
      </c>
      <c r="R17" t="str">
        <f t="shared" si="4"/>
        <v>6' 0.4"</v>
      </c>
      <c r="S17">
        <f t="shared" si="5"/>
        <v>355</v>
      </c>
      <c r="T17">
        <f t="shared" si="7"/>
        <v>24</v>
      </c>
      <c r="U17">
        <f t="shared" si="7"/>
        <v>22</v>
      </c>
      <c r="V17">
        <f t="shared" si="7"/>
        <v>20</v>
      </c>
    </row>
    <row r="18" spans="1:22">
      <c r="A18" s="1" t="s">
        <v>92</v>
      </c>
      <c r="B18" s="1">
        <v>2</v>
      </c>
      <c r="C18" s="1" t="s">
        <v>137</v>
      </c>
      <c r="D18" s="1" t="s">
        <v>42</v>
      </c>
      <c r="E18" s="1" t="s">
        <v>136</v>
      </c>
      <c r="F18" s="1" t="s">
        <v>132</v>
      </c>
      <c r="G18" s="1" t="s">
        <v>135</v>
      </c>
      <c r="H18" s="1" t="s">
        <v>135</v>
      </c>
      <c r="I18" s="1" t="s">
        <v>137</v>
      </c>
      <c r="J18" s="1">
        <f>_xlfn.XLOOKUP(I18,'rank lookup'!$A$1:$A$21,'rank lookup'!$B$1:$B$21,,0)</f>
        <v>7</v>
      </c>
      <c r="K18" s="1"/>
      <c r="L18" s="25">
        <v>189</v>
      </c>
      <c r="M18" s="25">
        <v>174</v>
      </c>
      <c r="N18" s="5">
        <f t="shared" si="0"/>
        <v>48.710842361636011</v>
      </c>
      <c r="O18" s="4">
        <f t="shared" si="1"/>
        <v>74.409448818897644</v>
      </c>
      <c r="P18">
        <f t="shared" si="2"/>
        <v>6</v>
      </c>
      <c r="Q18">
        <f t="shared" si="3"/>
        <v>2.4</v>
      </c>
      <c r="R18" t="str">
        <f t="shared" si="4"/>
        <v>6' 2.4"</v>
      </c>
      <c r="S18">
        <f t="shared" si="5"/>
        <v>384</v>
      </c>
      <c r="T18">
        <f t="shared" si="7"/>
        <v>9</v>
      </c>
      <c r="U18">
        <f t="shared" si="7"/>
        <v>12</v>
      </c>
      <c r="V18">
        <f t="shared" si="7"/>
        <v>19</v>
      </c>
    </row>
    <row r="19" spans="1:22">
      <c r="A19" s="1" t="s">
        <v>121</v>
      </c>
      <c r="B19" s="1"/>
      <c r="C19" s="1" t="s">
        <v>137</v>
      </c>
      <c r="D19" s="1" t="s">
        <v>137</v>
      </c>
      <c r="E19" s="1" t="s">
        <v>135</v>
      </c>
      <c r="F19" s="1" t="s">
        <v>142</v>
      </c>
      <c r="G19" s="1" t="s">
        <v>139</v>
      </c>
      <c r="H19" s="1" t="s">
        <v>139</v>
      </c>
      <c r="I19" s="1" t="s">
        <v>139</v>
      </c>
      <c r="J19" s="1">
        <f>_xlfn.XLOOKUP(I19,'rank lookup'!$A$1:$A$21,'rank lookup'!$B$1:$B$21,,0)</f>
        <v>8</v>
      </c>
      <c r="K19" s="1"/>
      <c r="L19" s="25">
        <v>175</v>
      </c>
      <c r="M19" s="25">
        <v>143</v>
      </c>
      <c r="N19" s="5">
        <f t="shared" si="0"/>
        <v>46.693877551020407</v>
      </c>
      <c r="O19" s="4">
        <f t="shared" si="1"/>
        <v>68.897637795275585</v>
      </c>
      <c r="P19">
        <f t="shared" si="2"/>
        <v>5</v>
      </c>
      <c r="Q19">
        <f t="shared" si="3"/>
        <v>8.9</v>
      </c>
      <c r="R19" t="str">
        <f t="shared" si="4"/>
        <v>5' 8.9"</v>
      </c>
      <c r="S19">
        <f t="shared" si="5"/>
        <v>315</v>
      </c>
      <c r="T19">
        <f t="shared" si="7"/>
        <v>39</v>
      </c>
      <c r="U19">
        <f t="shared" si="7"/>
        <v>34</v>
      </c>
      <c r="V19">
        <f t="shared" si="7"/>
        <v>24</v>
      </c>
    </row>
    <row r="20" spans="1:22">
      <c r="A20" s="1" t="s">
        <v>101</v>
      </c>
      <c r="B20" s="1"/>
      <c r="C20" s="1" t="s">
        <v>145</v>
      </c>
      <c r="D20" s="1" t="s">
        <v>143</v>
      </c>
      <c r="E20" s="1" t="s">
        <v>143</v>
      </c>
      <c r="F20" s="1" t="s">
        <v>147</v>
      </c>
      <c r="G20" s="1" t="s">
        <v>142</v>
      </c>
      <c r="H20" s="1" t="s">
        <v>143</v>
      </c>
      <c r="I20" s="1" t="s">
        <v>139</v>
      </c>
      <c r="J20" s="1">
        <f>_xlfn.XLOOKUP(I20,'rank lookup'!$A$1:$A$21,'rank lookup'!$B$1:$B$21,,0)</f>
        <v>8</v>
      </c>
      <c r="K20" s="1"/>
      <c r="L20" s="25">
        <v>183</v>
      </c>
      <c r="M20" s="25">
        <v>170</v>
      </c>
      <c r="N20" s="5">
        <f t="shared" si="0"/>
        <v>50.762937083818564</v>
      </c>
      <c r="O20" s="4">
        <f t="shared" si="1"/>
        <v>72.047244094488192</v>
      </c>
      <c r="P20">
        <f t="shared" si="2"/>
        <v>6</v>
      </c>
      <c r="Q20">
        <f t="shared" si="3"/>
        <v>0</v>
      </c>
      <c r="R20" t="str">
        <f t="shared" si="4"/>
        <v>6' 0"</v>
      </c>
      <c r="S20">
        <f t="shared" si="5"/>
        <v>375</v>
      </c>
      <c r="T20">
        <f t="shared" si="7"/>
        <v>29</v>
      </c>
      <c r="U20">
        <f t="shared" si="7"/>
        <v>15</v>
      </c>
      <c r="V20">
        <f t="shared" si="7"/>
        <v>10</v>
      </c>
    </row>
    <row r="21" spans="1:22">
      <c r="A21" s="1" t="s">
        <v>242</v>
      </c>
      <c r="H21" t="s">
        <v>150</v>
      </c>
      <c r="I21" t="s">
        <v>140</v>
      </c>
      <c r="J21" s="1">
        <f>_xlfn.XLOOKUP(I21,'rank lookup'!$A$1:$A$21,'rank lookup'!$B$1:$B$21,,0)</f>
        <v>9</v>
      </c>
      <c r="L21" s="25">
        <v>177</v>
      </c>
      <c r="M21" s="25">
        <v>154</v>
      </c>
      <c r="N21" s="5">
        <f t="shared" si="0"/>
        <v>49.155734303680298</v>
      </c>
      <c r="O21" s="4">
        <f t="shared" si="1"/>
        <v>69.685039370078741</v>
      </c>
      <c r="P21">
        <f t="shared" si="2"/>
        <v>5</v>
      </c>
      <c r="Q21">
        <f t="shared" si="3"/>
        <v>9.6999999999999993</v>
      </c>
      <c r="R21" t="str">
        <f t="shared" si="4"/>
        <v>5' 9.7"</v>
      </c>
      <c r="S21">
        <f t="shared" si="5"/>
        <v>340</v>
      </c>
      <c r="T21">
        <f t="shared" si="7"/>
        <v>35</v>
      </c>
      <c r="U21">
        <f t="shared" si="7"/>
        <v>29</v>
      </c>
      <c r="V21">
        <f t="shared" si="7"/>
        <v>17</v>
      </c>
    </row>
    <row r="22" spans="1:22">
      <c r="A22" s="1" t="s">
        <v>243</v>
      </c>
      <c r="H22" t="s">
        <v>151</v>
      </c>
      <c r="I22" t="s">
        <v>140</v>
      </c>
      <c r="J22" s="1">
        <f>_xlfn.XLOOKUP(I22,'rank lookup'!$A$1:$A$21,'rank lookup'!$B$1:$B$21,,0)</f>
        <v>9</v>
      </c>
      <c r="L22" s="25">
        <v>193</v>
      </c>
      <c r="M22" s="25">
        <v>186</v>
      </c>
      <c r="N22" s="5">
        <f t="shared" si="0"/>
        <v>49.93422642218583</v>
      </c>
      <c r="O22" s="4">
        <f t="shared" si="1"/>
        <v>75.984251968503941</v>
      </c>
      <c r="P22">
        <f t="shared" si="2"/>
        <v>6</v>
      </c>
      <c r="Q22">
        <f t="shared" si="3"/>
        <v>4</v>
      </c>
      <c r="R22" t="str">
        <f t="shared" si="4"/>
        <v>6' 4"</v>
      </c>
      <c r="S22">
        <f t="shared" si="5"/>
        <v>410</v>
      </c>
      <c r="T22">
        <f t="shared" si="7"/>
        <v>2</v>
      </c>
      <c r="U22">
        <f t="shared" si="7"/>
        <v>3</v>
      </c>
      <c r="V22">
        <f t="shared" si="7"/>
        <v>11</v>
      </c>
    </row>
    <row r="23" spans="1:22">
      <c r="A23" s="1" t="s">
        <v>120</v>
      </c>
      <c r="B23" s="1"/>
      <c r="C23" s="1" t="s">
        <v>135</v>
      </c>
      <c r="D23" s="1" t="s">
        <v>147</v>
      </c>
      <c r="E23" s="1" t="s">
        <v>142</v>
      </c>
      <c r="F23" s="1" t="s">
        <v>139</v>
      </c>
      <c r="G23" s="1" t="s">
        <v>143</v>
      </c>
      <c r="H23" s="1" t="s">
        <v>140</v>
      </c>
      <c r="I23" s="1" t="s">
        <v>141</v>
      </c>
      <c r="J23" s="1">
        <f>_xlfn.XLOOKUP(I23,'rank lookup'!$A$1:$A$21,'rank lookup'!$B$1:$B$21,,0)</f>
        <v>10</v>
      </c>
      <c r="K23" s="1"/>
      <c r="L23" s="28">
        <v>177</v>
      </c>
      <c r="M23" s="28">
        <v>165</v>
      </c>
      <c r="N23" s="5">
        <f t="shared" si="0"/>
        <v>52.666858182514609</v>
      </c>
      <c r="O23" s="4">
        <f t="shared" si="1"/>
        <v>69.685039370078741</v>
      </c>
      <c r="P23">
        <f t="shared" si="2"/>
        <v>5</v>
      </c>
      <c r="Q23">
        <f t="shared" si="3"/>
        <v>9.6999999999999993</v>
      </c>
      <c r="R23" t="str">
        <f t="shared" si="4"/>
        <v>5' 9.7"</v>
      </c>
      <c r="S23">
        <f t="shared" si="5"/>
        <v>364</v>
      </c>
      <c r="T23">
        <f t="shared" si="7"/>
        <v>35</v>
      </c>
      <c r="U23">
        <f t="shared" si="7"/>
        <v>18</v>
      </c>
      <c r="V23">
        <f t="shared" si="7"/>
        <v>5</v>
      </c>
    </row>
    <row r="24" spans="1:22">
      <c r="A24" t="s">
        <v>149</v>
      </c>
      <c r="C24" s="1" t="s">
        <v>148</v>
      </c>
      <c r="D24" s="1" t="s">
        <v>141</v>
      </c>
      <c r="E24" s="1" t="s">
        <v>140</v>
      </c>
      <c r="F24" s="1" t="s">
        <v>136</v>
      </c>
      <c r="G24" s="1" t="s">
        <v>145</v>
      </c>
      <c r="H24" s="1" t="s">
        <v>152</v>
      </c>
      <c r="I24" s="1" t="s">
        <v>141</v>
      </c>
      <c r="J24" s="1">
        <f>_xlfn.XLOOKUP(I24,'rank lookup'!$A$1:$A$21,'rank lookup'!$B$1:$B$21,,0)</f>
        <v>10</v>
      </c>
      <c r="K24" s="1"/>
      <c r="L24" s="29">
        <v>188</v>
      </c>
      <c r="M24" s="28">
        <v>155</v>
      </c>
      <c r="N24" s="5">
        <f t="shared" si="0"/>
        <v>43.854685377999097</v>
      </c>
      <c r="O24" s="4">
        <f t="shared" si="1"/>
        <v>74.015748031496059</v>
      </c>
      <c r="P24">
        <f t="shared" si="2"/>
        <v>6</v>
      </c>
      <c r="Q24">
        <f t="shared" si="3"/>
        <v>2</v>
      </c>
      <c r="R24" t="str">
        <f t="shared" si="4"/>
        <v>6' 2"</v>
      </c>
      <c r="S24">
        <f t="shared" si="5"/>
        <v>342</v>
      </c>
      <c r="T24">
        <f t="shared" si="7"/>
        <v>12</v>
      </c>
      <c r="U24">
        <f t="shared" si="7"/>
        <v>28</v>
      </c>
      <c r="V24">
        <f t="shared" si="7"/>
        <v>33</v>
      </c>
    </row>
    <row r="25" spans="1:22">
      <c r="A25" s="1" t="s">
        <v>88</v>
      </c>
      <c r="B25" s="1"/>
      <c r="C25" s="1" t="s">
        <v>150</v>
      </c>
      <c r="D25" s="1" t="s">
        <v>150</v>
      </c>
      <c r="E25" s="1" t="s">
        <v>142</v>
      </c>
      <c r="F25" s="1" t="s">
        <v>152</v>
      </c>
      <c r="G25" s="1" t="s">
        <v>154</v>
      </c>
      <c r="H25" s="1" t="s">
        <v>141</v>
      </c>
      <c r="I25" s="1" t="s">
        <v>135</v>
      </c>
      <c r="J25" s="1">
        <f>_xlfn.XLOOKUP(I25,'rank lookup'!$A$1:$A$21,'rank lookup'!$B$1:$B$21,,0)</f>
        <v>11</v>
      </c>
      <c r="K25" s="1"/>
      <c r="L25" s="28">
        <v>190</v>
      </c>
      <c r="M25" s="28">
        <v>179</v>
      </c>
      <c r="N25" s="5">
        <f t="shared" si="0"/>
        <v>49.584487534626035</v>
      </c>
      <c r="O25" s="4">
        <f t="shared" si="1"/>
        <v>74.803149606299215</v>
      </c>
      <c r="P25">
        <f t="shared" si="2"/>
        <v>6</v>
      </c>
      <c r="Q25">
        <f t="shared" si="3"/>
        <v>2.8</v>
      </c>
      <c r="R25" t="str">
        <f t="shared" si="4"/>
        <v>6' 2.8"</v>
      </c>
      <c r="S25">
        <f t="shared" si="5"/>
        <v>395</v>
      </c>
      <c r="T25">
        <f t="shared" si="7"/>
        <v>8</v>
      </c>
      <c r="U25">
        <f t="shared" si="7"/>
        <v>9</v>
      </c>
      <c r="V25">
        <f t="shared" si="7"/>
        <v>12</v>
      </c>
    </row>
    <row r="26" spans="1:22">
      <c r="A26" s="1" t="s">
        <v>96</v>
      </c>
      <c r="B26" s="1"/>
      <c r="C26" s="1" t="s">
        <v>139</v>
      </c>
      <c r="D26" s="1" t="s">
        <v>132</v>
      </c>
      <c r="E26" s="1" t="s">
        <v>31</v>
      </c>
      <c r="F26" s="1" t="s">
        <v>135</v>
      </c>
      <c r="G26" s="1" t="s">
        <v>136</v>
      </c>
      <c r="H26" s="1" t="s">
        <v>135</v>
      </c>
      <c r="I26" s="1" t="s">
        <v>135</v>
      </c>
      <c r="J26" s="1">
        <f>_xlfn.XLOOKUP(I26,'rank lookup'!$A$1:$A$21,'rank lookup'!$B$1:$B$21,,0)</f>
        <v>11</v>
      </c>
      <c r="K26" s="1"/>
      <c r="L26" s="28">
        <v>188</v>
      </c>
      <c r="M26" s="28">
        <v>183</v>
      </c>
      <c r="N26" s="5">
        <f t="shared" si="0"/>
        <v>51.776822091444096</v>
      </c>
      <c r="O26" s="4">
        <f t="shared" si="1"/>
        <v>74.015748031496059</v>
      </c>
      <c r="P26">
        <f t="shared" si="2"/>
        <v>6</v>
      </c>
      <c r="Q26">
        <f t="shared" si="3"/>
        <v>2</v>
      </c>
      <c r="R26" t="str">
        <f t="shared" si="4"/>
        <v>6' 2"</v>
      </c>
      <c r="S26">
        <f t="shared" si="5"/>
        <v>403</v>
      </c>
      <c r="T26">
        <f t="shared" si="7"/>
        <v>12</v>
      </c>
      <c r="U26">
        <f t="shared" si="7"/>
        <v>6</v>
      </c>
      <c r="V26">
        <f t="shared" si="7"/>
        <v>7</v>
      </c>
    </row>
    <row r="27" spans="1:22">
      <c r="A27" t="s">
        <v>155</v>
      </c>
      <c r="C27" s="1" t="s">
        <v>154</v>
      </c>
      <c r="D27" s="1" t="s">
        <v>154</v>
      </c>
      <c r="E27" s="1" t="s">
        <v>145</v>
      </c>
      <c r="F27" s="1" t="s">
        <v>143</v>
      </c>
      <c r="G27" s="1" t="s">
        <v>143</v>
      </c>
      <c r="H27" s="1" t="s">
        <v>140</v>
      </c>
      <c r="I27" s="1" t="s">
        <v>142</v>
      </c>
      <c r="J27" s="1">
        <f>_xlfn.XLOOKUP(I27,'rank lookup'!$A$1:$A$21,'rank lookup'!$B$1:$B$21,,0)</f>
        <v>12</v>
      </c>
      <c r="K27" s="1"/>
      <c r="L27" s="28">
        <v>177</v>
      </c>
      <c r="M27" s="28">
        <v>135</v>
      </c>
      <c r="N27" s="5">
        <f t="shared" si="0"/>
        <v>43.091065785693765</v>
      </c>
      <c r="O27" s="4">
        <f t="shared" si="1"/>
        <v>69.685039370078741</v>
      </c>
      <c r="P27">
        <f t="shared" si="2"/>
        <v>5</v>
      </c>
      <c r="Q27">
        <f t="shared" si="3"/>
        <v>9.6999999999999993</v>
      </c>
      <c r="R27" t="str">
        <f t="shared" si="4"/>
        <v>5' 9.7"</v>
      </c>
      <c r="S27">
        <f t="shared" si="5"/>
        <v>298</v>
      </c>
      <c r="T27">
        <f t="shared" si="7"/>
        <v>35</v>
      </c>
      <c r="U27">
        <f t="shared" si="7"/>
        <v>39</v>
      </c>
      <c r="V27">
        <f t="shared" si="7"/>
        <v>34</v>
      </c>
    </row>
    <row r="28" spans="1:22">
      <c r="A28" s="1" t="s">
        <v>122</v>
      </c>
      <c r="B28" s="1"/>
      <c r="C28" s="1" t="s">
        <v>143</v>
      </c>
      <c r="D28" s="1" t="s">
        <v>148</v>
      </c>
      <c r="E28" s="1" t="s">
        <v>150</v>
      </c>
      <c r="F28" s="1" t="s">
        <v>150</v>
      </c>
      <c r="G28" s="1" t="s">
        <v>148</v>
      </c>
      <c r="H28" s="1" t="s">
        <v>147</v>
      </c>
      <c r="I28" s="1" t="s">
        <v>142</v>
      </c>
      <c r="J28" s="1">
        <f>_xlfn.XLOOKUP(I28,'rank lookup'!$A$1:$A$21,'rank lookup'!$B$1:$B$21,,0)</f>
        <v>12</v>
      </c>
      <c r="K28" s="1"/>
      <c r="L28" s="28">
        <v>176</v>
      </c>
      <c r="M28" s="28">
        <v>133</v>
      </c>
      <c r="N28" s="5">
        <f t="shared" si="0"/>
        <v>42.936466942148755</v>
      </c>
      <c r="O28" s="4">
        <f t="shared" si="1"/>
        <v>69.29133858267717</v>
      </c>
      <c r="P28">
        <f t="shared" si="2"/>
        <v>5</v>
      </c>
      <c r="Q28">
        <f t="shared" si="3"/>
        <v>9.3000000000000007</v>
      </c>
      <c r="R28" t="str">
        <f t="shared" si="4"/>
        <v>5' 9.3"</v>
      </c>
      <c r="S28">
        <f t="shared" si="5"/>
        <v>293</v>
      </c>
      <c r="T28">
        <f t="shared" si="7"/>
        <v>38</v>
      </c>
      <c r="U28">
        <f t="shared" si="7"/>
        <v>41</v>
      </c>
      <c r="V28">
        <f t="shared" si="7"/>
        <v>35</v>
      </c>
    </row>
    <row r="29" spans="1:22">
      <c r="A29" s="1" t="s">
        <v>133</v>
      </c>
      <c r="C29" t="s">
        <v>132</v>
      </c>
      <c r="D29" s="1" t="s">
        <v>137</v>
      </c>
      <c r="E29" s="1" t="s">
        <v>137</v>
      </c>
      <c r="F29" s="1" t="s">
        <v>140</v>
      </c>
      <c r="G29" s="1" t="s">
        <v>132</v>
      </c>
      <c r="H29" s="1" t="s">
        <v>137</v>
      </c>
      <c r="I29" s="1" t="s">
        <v>143</v>
      </c>
      <c r="J29" s="1">
        <f>_xlfn.XLOOKUP(I29,'rank lookup'!$A$1:$A$21,'rank lookup'!$B$1:$B$21,,0)</f>
        <v>13</v>
      </c>
      <c r="K29" s="1"/>
      <c r="L29" s="28">
        <v>171</v>
      </c>
      <c r="M29" s="28">
        <v>116</v>
      </c>
      <c r="N29" s="5">
        <f t="shared" si="0"/>
        <v>39.670325912246504</v>
      </c>
      <c r="O29" s="4">
        <f t="shared" si="1"/>
        <v>67.322834645669289</v>
      </c>
      <c r="P29">
        <f t="shared" si="2"/>
        <v>5</v>
      </c>
      <c r="Q29">
        <f t="shared" si="3"/>
        <v>7.3</v>
      </c>
      <c r="R29" t="str">
        <f t="shared" si="4"/>
        <v>5' 7.3"</v>
      </c>
      <c r="S29">
        <f t="shared" si="5"/>
        <v>256</v>
      </c>
      <c r="T29">
        <f t="shared" si="7"/>
        <v>42</v>
      </c>
      <c r="U29">
        <f t="shared" si="7"/>
        <v>42</v>
      </c>
      <c r="V29">
        <f t="shared" si="7"/>
        <v>42</v>
      </c>
    </row>
    <row r="30" spans="1:22">
      <c r="A30" s="1" t="s">
        <v>244</v>
      </c>
      <c r="H30" t="s">
        <v>186</v>
      </c>
      <c r="I30" t="s">
        <v>143</v>
      </c>
      <c r="J30" s="1">
        <f>_xlfn.XLOOKUP(I30,'rank lookup'!$A$1:$A$21,'rank lookup'!$B$1:$B$21,,0)</f>
        <v>13</v>
      </c>
      <c r="L30" s="25">
        <v>181</v>
      </c>
      <c r="M30" s="25">
        <v>162</v>
      </c>
      <c r="N30" s="5">
        <f t="shared" si="0"/>
        <v>49.449040017093495</v>
      </c>
      <c r="O30" s="4">
        <f t="shared" si="1"/>
        <v>71.259842519685037</v>
      </c>
      <c r="P30">
        <f t="shared" si="2"/>
        <v>5</v>
      </c>
      <c r="Q30">
        <f t="shared" si="3"/>
        <v>11.3</v>
      </c>
      <c r="R30" t="str">
        <f t="shared" si="4"/>
        <v>5' 11.3"</v>
      </c>
      <c r="S30">
        <f t="shared" si="5"/>
        <v>357</v>
      </c>
      <c r="T30">
        <f t="shared" si="7"/>
        <v>32</v>
      </c>
      <c r="U30">
        <f t="shared" si="7"/>
        <v>21</v>
      </c>
      <c r="V30">
        <f t="shared" si="7"/>
        <v>14</v>
      </c>
    </row>
    <row r="31" spans="1:22">
      <c r="A31" s="1" t="s">
        <v>189</v>
      </c>
      <c r="F31" t="s">
        <v>151</v>
      </c>
      <c r="G31" t="s">
        <v>140</v>
      </c>
      <c r="H31" s="1" t="s">
        <v>145</v>
      </c>
      <c r="I31" s="1" t="s">
        <v>145</v>
      </c>
      <c r="J31" s="1">
        <f>_xlfn.XLOOKUP(I31,'rank lookup'!$A$1:$A$21,'rank lookup'!$B$1:$B$21,,0)</f>
        <v>14</v>
      </c>
      <c r="K31" s="1"/>
      <c r="L31" s="28">
        <v>192</v>
      </c>
      <c r="M31" s="28">
        <v>181</v>
      </c>
      <c r="N31" s="5">
        <f t="shared" si="0"/>
        <v>49.099392361111107</v>
      </c>
      <c r="O31" s="4">
        <f t="shared" si="1"/>
        <v>75.59055118110237</v>
      </c>
      <c r="P31">
        <f t="shared" si="2"/>
        <v>6</v>
      </c>
      <c r="Q31">
        <f t="shared" si="3"/>
        <v>3.6</v>
      </c>
      <c r="R31" t="str">
        <f t="shared" si="4"/>
        <v>6' 3.6"</v>
      </c>
      <c r="S31">
        <f t="shared" si="5"/>
        <v>399</v>
      </c>
      <c r="T31">
        <f t="shared" si="7"/>
        <v>4</v>
      </c>
      <c r="U31">
        <f t="shared" si="7"/>
        <v>7</v>
      </c>
      <c r="V31">
        <f t="shared" si="7"/>
        <v>18</v>
      </c>
    </row>
    <row r="32" spans="1:22">
      <c r="A32" s="1" t="s">
        <v>99</v>
      </c>
      <c r="B32" s="1"/>
      <c r="C32" s="1" t="s">
        <v>141</v>
      </c>
      <c r="D32" s="1" t="s">
        <v>135</v>
      </c>
      <c r="E32" s="1" t="s">
        <v>143</v>
      </c>
      <c r="F32" s="1" t="s">
        <v>141</v>
      </c>
      <c r="G32" s="1" t="s">
        <v>136</v>
      </c>
      <c r="H32" s="1" t="s">
        <v>154</v>
      </c>
      <c r="I32" s="1" t="s">
        <v>145</v>
      </c>
      <c r="J32" s="1">
        <f>_xlfn.XLOOKUP(I32,'rank lookup'!$A$1:$A$21,'rank lookup'!$B$1:$B$21,,0)</f>
        <v>14</v>
      </c>
      <c r="K32" s="1"/>
      <c r="L32" s="28">
        <v>184</v>
      </c>
      <c r="M32" s="28">
        <v>150</v>
      </c>
      <c r="N32" s="5">
        <f t="shared" si="0"/>
        <v>44.305293005671075</v>
      </c>
      <c r="O32" s="4">
        <f t="shared" si="1"/>
        <v>72.440944881889763</v>
      </c>
      <c r="P32">
        <f t="shared" si="2"/>
        <v>6</v>
      </c>
      <c r="Q32">
        <f t="shared" si="3"/>
        <v>0.4</v>
      </c>
      <c r="R32" t="str">
        <f t="shared" si="4"/>
        <v>6' 0.4"</v>
      </c>
      <c r="S32">
        <f t="shared" si="5"/>
        <v>331</v>
      </c>
      <c r="T32">
        <f t="shared" si="7"/>
        <v>24</v>
      </c>
      <c r="U32">
        <f t="shared" si="7"/>
        <v>31</v>
      </c>
      <c r="V32">
        <f t="shared" si="7"/>
        <v>29</v>
      </c>
    </row>
    <row r="33" spans="1:22">
      <c r="A33" s="1" t="s">
        <v>116</v>
      </c>
      <c r="B33" s="1">
        <v>2</v>
      </c>
      <c r="C33" s="1" t="s">
        <v>39</v>
      </c>
      <c r="D33" s="1" t="s">
        <v>31</v>
      </c>
      <c r="E33" s="1" t="s">
        <v>136</v>
      </c>
      <c r="F33" s="1" t="s">
        <v>137</v>
      </c>
      <c r="G33" s="1" t="s">
        <v>141</v>
      </c>
      <c r="H33" s="1" t="s">
        <v>136</v>
      </c>
      <c r="I33" s="1" t="s">
        <v>147</v>
      </c>
      <c r="J33" s="1">
        <f>_xlfn.XLOOKUP(I33,'rank lookup'!$A$1:$A$21,'rank lookup'!$B$1:$B$21,,0)</f>
        <v>15</v>
      </c>
      <c r="K33" s="1"/>
      <c r="L33" s="28">
        <v>179</v>
      </c>
      <c r="M33" s="28">
        <v>170</v>
      </c>
      <c r="N33" s="5">
        <f t="shared" si="0"/>
        <v>53.057020692238069</v>
      </c>
      <c r="O33" s="4">
        <f t="shared" si="1"/>
        <v>70.472440944881896</v>
      </c>
      <c r="P33">
        <f t="shared" si="2"/>
        <v>5</v>
      </c>
      <c r="Q33">
        <f t="shared" si="3"/>
        <v>10.5</v>
      </c>
      <c r="R33" t="str">
        <f t="shared" si="4"/>
        <v>5' 10.5"</v>
      </c>
      <c r="S33">
        <f t="shared" si="5"/>
        <v>375</v>
      </c>
      <c r="T33">
        <f t="shared" si="7"/>
        <v>34</v>
      </c>
      <c r="U33">
        <f t="shared" si="7"/>
        <v>15</v>
      </c>
      <c r="V33">
        <f t="shared" si="7"/>
        <v>4</v>
      </c>
    </row>
    <row r="34" spans="1:22">
      <c r="A34" s="1" t="s">
        <v>191</v>
      </c>
      <c r="F34" t="s">
        <v>152</v>
      </c>
      <c r="G34" t="s">
        <v>147</v>
      </c>
      <c r="H34" t="s">
        <v>141</v>
      </c>
      <c r="I34" s="1" t="s">
        <v>147</v>
      </c>
      <c r="J34" s="1">
        <f>_xlfn.XLOOKUP(I34,'rank lookup'!$A$1:$A$21,'rank lookup'!$B$1:$B$21,,0)</f>
        <v>15</v>
      </c>
      <c r="K34" s="1"/>
      <c r="L34" s="28">
        <v>204</v>
      </c>
      <c r="M34" s="28">
        <v>185</v>
      </c>
      <c r="N34" s="5">
        <f t="shared" si="0"/>
        <v>44.454056132256824</v>
      </c>
      <c r="O34" s="4">
        <f t="shared" si="1"/>
        <v>80.314960629921259</v>
      </c>
      <c r="P34">
        <f t="shared" si="2"/>
        <v>6</v>
      </c>
      <c r="Q34">
        <f t="shared" si="3"/>
        <v>8.3000000000000007</v>
      </c>
      <c r="R34" t="str">
        <f t="shared" si="4"/>
        <v>6' 8.3"</v>
      </c>
      <c r="S34">
        <f t="shared" si="5"/>
        <v>408</v>
      </c>
      <c r="T34">
        <f t="shared" si="7"/>
        <v>1</v>
      </c>
      <c r="U34">
        <f t="shared" si="7"/>
        <v>5</v>
      </c>
      <c r="V34">
        <f t="shared" si="7"/>
        <v>28</v>
      </c>
    </row>
    <row r="35" spans="1:22">
      <c r="A35" s="1" t="s">
        <v>111</v>
      </c>
      <c r="B35" s="1"/>
      <c r="C35" s="1" t="s">
        <v>140</v>
      </c>
      <c r="D35" s="1" t="s">
        <v>139</v>
      </c>
      <c r="E35" s="1" t="s">
        <v>139</v>
      </c>
      <c r="F35" s="1" t="s">
        <v>141</v>
      </c>
      <c r="G35" s="1" t="s">
        <v>142</v>
      </c>
      <c r="H35" s="1" t="s">
        <v>142</v>
      </c>
      <c r="I35" s="1" t="s">
        <v>148</v>
      </c>
      <c r="J35" s="1">
        <f>_xlfn.XLOOKUP(I35,'rank lookup'!$A$1:$A$21,'rank lookup'!$B$1:$B$21,,0)</f>
        <v>16</v>
      </c>
      <c r="K35" s="1"/>
      <c r="L35" s="28">
        <v>182</v>
      </c>
      <c r="M35" s="28">
        <v>142</v>
      </c>
      <c r="N35" s="5">
        <f t="shared" si="0"/>
        <v>42.869218693394522</v>
      </c>
      <c r="O35" s="4">
        <f t="shared" si="1"/>
        <v>71.653543307086608</v>
      </c>
      <c r="P35">
        <f t="shared" si="2"/>
        <v>5</v>
      </c>
      <c r="Q35">
        <f t="shared" si="3"/>
        <v>11.7</v>
      </c>
      <c r="R35" t="str">
        <f t="shared" si="4"/>
        <v>5' 11.7"</v>
      </c>
      <c r="S35">
        <f t="shared" si="5"/>
        <v>313</v>
      </c>
      <c r="T35">
        <f t="shared" si="7"/>
        <v>30</v>
      </c>
      <c r="U35">
        <f t="shared" si="7"/>
        <v>36</v>
      </c>
      <c r="V35">
        <f t="shared" si="7"/>
        <v>36</v>
      </c>
    </row>
    <row r="36" spans="1:22">
      <c r="A36" s="1" t="s">
        <v>104</v>
      </c>
      <c r="B36" s="1"/>
      <c r="C36" s="1" t="s">
        <v>140</v>
      </c>
      <c r="D36" s="1" t="s">
        <v>142</v>
      </c>
      <c r="E36" s="1" t="s">
        <v>154</v>
      </c>
      <c r="F36" s="1" t="s">
        <v>148</v>
      </c>
      <c r="G36" s="1" t="s">
        <v>145</v>
      </c>
      <c r="H36" s="1" t="s">
        <v>152</v>
      </c>
      <c r="I36" s="1" t="s">
        <v>148</v>
      </c>
      <c r="J36" s="1">
        <f>_xlfn.XLOOKUP(I36,'rank lookup'!$A$1:$A$21,'rank lookup'!$B$1:$B$21,,0)</f>
        <v>16</v>
      </c>
      <c r="K36" s="1"/>
      <c r="L36" s="28">
        <v>186</v>
      </c>
      <c r="M36" s="28">
        <v>171</v>
      </c>
      <c r="N36" s="5">
        <f t="shared" si="0"/>
        <v>49.427679500520291</v>
      </c>
      <c r="O36" s="4">
        <f t="shared" si="1"/>
        <v>73.228346456692918</v>
      </c>
      <c r="P36">
        <f t="shared" si="2"/>
        <v>6</v>
      </c>
      <c r="Q36">
        <f t="shared" si="3"/>
        <v>1.2</v>
      </c>
      <c r="R36" t="str">
        <f t="shared" si="4"/>
        <v>6' 1.2"</v>
      </c>
      <c r="S36">
        <f t="shared" si="5"/>
        <v>377</v>
      </c>
      <c r="T36">
        <f t="shared" si="7"/>
        <v>17</v>
      </c>
      <c r="U36">
        <f t="shared" si="7"/>
        <v>14</v>
      </c>
      <c r="V36">
        <f t="shared" si="7"/>
        <v>15</v>
      </c>
    </row>
    <row r="37" spans="1:22">
      <c r="A37" t="s">
        <v>144</v>
      </c>
      <c r="C37" s="1" t="s">
        <v>145</v>
      </c>
      <c r="D37" s="1" t="s">
        <v>140</v>
      </c>
      <c r="E37" s="1" t="s">
        <v>139</v>
      </c>
      <c r="F37" s="1" t="s">
        <v>145</v>
      </c>
      <c r="G37" s="1" t="s">
        <v>137</v>
      </c>
      <c r="H37" s="1" t="s">
        <v>142</v>
      </c>
      <c r="I37" s="1" t="s">
        <v>150</v>
      </c>
      <c r="J37" s="1">
        <f>_xlfn.XLOOKUP(I37,'rank lookup'!$A$1:$A$21,'rank lookup'!$B$1:$B$21,,0)</f>
        <v>17</v>
      </c>
      <c r="K37" s="1"/>
      <c r="L37" s="28">
        <v>184</v>
      </c>
      <c r="M37" s="28">
        <v>149</v>
      </c>
      <c r="N37" s="5">
        <f t="shared" si="0"/>
        <v>44.009924385633276</v>
      </c>
      <c r="O37" s="4">
        <f t="shared" si="1"/>
        <v>72.440944881889763</v>
      </c>
      <c r="P37">
        <f t="shared" si="2"/>
        <v>6</v>
      </c>
      <c r="Q37">
        <f t="shared" si="3"/>
        <v>0.4</v>
      </c>
      <c r="R37" t="str">
        <f t="shared" si="4"/>
        <v>6' 0.4"</v>
      </c>
      <c r="S37">
        <f t="shared" si="5"/>
        <v>328</v>
      </c>
      <c r="T37">
        <f t="shared" si="7"/>
        <v>24</v>
      </c>
      <c r="U37">
        <f t="shared" si="7"/>
        <v>32</v>
      </c>
      <c r="V37">
        <f t="shared" si="7"/>
        <v>32</v>
      </c>
    </row>
    <row r="38" spans="1:22">
      <c r="A38" s="1" t="s">
        <v>97</v>
      </c>
      <c r="B38" s="1"/>
      <c r="C38" s="1" t="s">
        <v>143</v>
      </c>
      <c r="D38" s="1" t="s">
        <v>135</v>
      </c>
      <c r="E38" s="1" t="s">
        <v>141</v>
      </c>
      <c r="F38" s="1" t="s">
        <v>145</v>
      </c>
      <c r="G38" s="1" t="s">
        <v>151</v>
      </c>
      <c r="H38" s="1" t="s">
        <v>145</v>
      </c>
      <c r="I38" s="1" t="s">
        <v>150</v>
      </c>
      <c r="J38" s="1">
        <f>_xlfn.XLOOKUP(I38,'rank lookup'!$A$1:$A$21,'rank lookup'!$B$1:$B$21,,0)</f>
        <v>17</v>
      </c>
      <c r="K38" s="1"/>
      <c r="L38" s="28">
        <v>188</v>
      </c>
      <c r="M38" s="28">
        <v>156</v>
      </c>
      <c r="N38" s="5">
        <f t="shared" si="0"/>
        <v>44.137618832050705</v>
      </c>
      <c r="O38" s="4">
        <f t="shared" si="1"/>
        <v>74.015748031496059</v>
      </c>
      <c r="P38">
        <f t="shared" si="2"/>
        <v>6</v>
      </c>
      <c r="Q38">
        <f t="shared" si="3"/>
        <v>2</v>
      </c>
      <c r="R38" t="str">
        <f t="shared" si="4"/>
        <v>6' 2"</v>
      </c>
      <c r="S38">
        <f t="shared" si="5"/>
        <v>344</v>
      </c>
      <c r="T38">
        <f t="shared" si="7"/>
        <v>12</v>
      </c>
      <c r="U38">
        <f t="shared" si="7"/>
        <v>26</v>
      </c>
      <c r="V38">
        <f t="shared" si="7"/>
        <v>30</v>
      </c>
    </row>
    <row r="39" spans="1:22">
      <c r="A39" t="s">
        <v>146</v>
      </c>
      <c r="C39" s="1" t="s">
        <v>147</v>
      </c>
      <c r="D39" s="1" t="s">
        <v>147</v>
      </c>
      <c r="E39" s="1" t="s">
        <v>150</v>
      </c>
      <c r="F39" s="1" t="s">
        <v>140</v>
      </c>
      <c r="G39" s="1" t="s">
        <v>140</v>
      </c>
      <c r="H39" s="1" t="s">
        <v>150</v>
      </c>
      <c r="I39" s="1" t="s">
        <v>151</v>
      </c>
      <c r="J39" s="1">
        <f>_xlfn.XLOOKUP(I39,'rank lookup'!$A$1:$A$21,'rank lookup'!$B$1:$B$21,,0)</f>
        <v>18</v>
      </c>
      <c r="K39" s="1"/>
      <c r="L39" s="28">
        <v>191</v>
      </c>
      <c r="M39" s="28">
        <v>161</v>
      </c>
      <c r="N39" s="5">
        <f t="shared" si="0"/>
        <v>44.13256215564266</v>
      </c>
      <c r="O39" s="4">
        <f t="shared" si="1"/>
        <v>75.196850393700785</v>
      </c>
      <c r="P39">
        <f t="shared" si="2"/>
        <v>6</v>
      </c>
      <c r="Q39">
        <f t="shared" si="3"/>
        <v>3.2</v>
      </c>
      <c r="R39" t="str">
        <f t="shared" si="4"/>
        <v>6' 3.2"</v>
      </c>
      <c r="S39">
        <f t="shared" si="5"/>
        <v>355</v>
      </c>
      <c r="T39">
        <f t="shared" si="7"/>
        <v>6</v>
      </c>
      <c r="U39">
        <f t="shared" si="7"/>
        <v>22</v>
      </c>
      <c r="V39">
        <f t="shared" si="7"/>
        <v>31</v>
      </c>
    </row>
    <row r="40" spans="1:22">
      <c r="A40" s="1" t="s">
        <v>91</v>
      </c>
      <c r="B40" s="1"/>
      <c r="C40" s="1" t="s">
        <v>135</v>
      </c>
      <c r="D40" s="1" t="s">
        <v>145</v>
      </c>
      <c r="E40" s="1" t="s">
        <v>145</v>
      </c>
      <c r="F40" s="1" t="s">
        <v>143</v>
      </c>
      <c r="G40" s="1" t="s">
        <v>148</v>
      </c>
      <c r="H40" s="1" t="s">
        <v>186</v>
      </c>
      <c r="I40" s="1" t="s">
        <v>151</v>
      </c>
      <c r="J40" s="1">
        <f>_xlfn.XLOOKUP(I40,'rank lookup'!$A$1:$A$21,'rank lookup'!$B$1:$B$21,,0)</f>
        <v>18</v>
      </c>
      <c r="K40" s="1"/>
      <c r="L40" s="28">
        <v>191</v>
      </c>
      <c r="M40" s="28">
        <v>186</v>
      </c>
      <c r="N40" s="5">
        <f t="shared" si="0"/>
        <v>50.985444477947425</v>
      </c>
      <c r="O40" s="4">
        <f t="shared" si="1"/>
        <v>75.196850393700785</v>
      </c>
      <c r="P40">
        <f t="shared" si="2"/>
        <v>6</v>
      </c>
      <c r="Q40">
        <f t="shared" si="3"/>
        <v>3.2</v>
      </c>
      <c r="R40" t="str">
        <f t="shared" si="4"/>
        <v>6' 3.2"</v>
      </c>
      <c r="S40">
        <f t="shared" si="5"/>
        <v>410</v>
      </c>
      <c r="T40">
        <f t="shared" si="7"/>
        <v>6</v>
      </c>
      <c r="U40">
        <f t="shared" si="7"/>
        <v>3</v>
      </c>
      <c r="V40">
        <f t="shared" si="7"/>
        <v>9</v>
      </c>
    </row>
    <row r="41" spans="1:22">
      <c r="A41" s="1" t="s">
        <v>110</v>
      </c>
      <c r="B41" s="1"/>
      <c r="C41" s="1" t="s">
        <v>151</v>
      </c>
      <c r="D41" s="1" t="s">
        <v>145</v>
      </c>
      <c r="E41" s="1" t="s">
        <v>147</v>
      </c>
      <c r="F41" s="1" t="s">
        <v>154</v>
      </c>
      <c r="G41" s="1" t="s">
        <v>150</v>
      </c>
      <c r="H41" s="1" t="s">
        <v>148</v>
      </c>
      <c r="I41" s="1" t="s">
        <v>152</v>
      </c>
      <c r="J41" s="1">
        <f>_xlfn.XLOOKUP(I41,'rank lookup'!$A$1:$A$21,'rank lookup'!$B$1:$B$21,,0)</f>
        <v>19</v>
      </c>
      <c r="K41" s="1"/>
      <c r="L41" s="28">
        <v>184</v>
      </c>
      <c r="M41" s="28">
        <v>137</v>
      </c>
      <c r="N41" s="5">
        <f t="shared" si="0"/>
        <v>40.465500945179578</v>
      </c>
      <c r="O41" s="4">
        <f t="shared" si="1"/>
        <v>72.440944881889763</v>
      </c>
      <c r="P41">
        <f t="shared" si="2"/>
        <v>6</v>
      </c>
      <c r="Q41">
        <f t="shared" si="3"/>
        <v>0.4</v>
      </c>
      <c r="R41" t="str">
        <f t="shared" si="4"/>
        <v>6' 0.4"</v>
      </c>
      <c r="S41">
        <f t="shared" si="5"/>
        <v>302</v>
      </c>
      <c r="T41">
        <f t="shared" si="7"/>
        <v>24</v>
      </c>
      <c r="U41">
        <f t="shared" si="7"/>
        <v>38</v>
      </c>
      <c r="V41">
        <f t="shared" si="7"/>
        <v>40</v>
      </c>
    </row>
    <row r="42" spans="1:22" ht="50">
      <c r="A42" s="1" t="s">
        <v>168</v>
      </c>
      <c r="D42" t="s">
        <v>152</v>
      </c>
      <c r="E42" s="1" t="s">
        <v>170</v>
      </c>
      <c r="F42" s="1" t="s">
        <v>187</v>
      </c>
      <c r="G42" s="1" t="s">
        <v>187</v>
      </c>
      <c r="H42" s="1" t="s">
        <v>241</v>
      </c>
      <c r="I42" s="1" t="s">
        <v>152</v>
      </c>
      <c r="J42" s="1">
        <f>_xlfn.XLOOKUP(I42,'rank lookup'!$A$1:$A$21,'rank lookup'!$B$1:$B$21,,0)</f>
        <v>19</v>
      </c>
      <c r="K42" s="1" t="s">
        <v>252</v>
      </c>
      <c r="L42" s="27">
        <v>185</v>
      </c>
      <c r="M42" s="27">
        <v>176</v>
      </c>
      <c r="N42" s="5">
        <f t="shared" si="0"/>
        <v>51.424397370343314</v>
      </c>
      <c r="O42" s="4">
        <f t="shared" si="1"/>
        <v>72.834645669291348</v>
      </c>
      <c r="P42">
        <f t="shared" si="2"/>
        <v>6</v>
      </c>
      <c r="Q42">
        <f t="shared" si="3"/>
        <v>0.8</v>
      </c>
      <c r="R42" t="str">
        <f t="shared" si="4"/>
        <v>6' 0.8"</v>
      </c>
      <c r="S42">
        <f t="shared" si="5"/>
        <v>388</v>
      </c>
      <c r="T42">
        <f t="shared" si="7"/>
        <v>20</v>
      </c>
      <c r="U42">
        <f t="shared" si="7"/>
        <v>10</v>
      </c>
      <c r="V42">
        <f t="shared" si="7"/>
        <v>8</v>
      </c>
    </row>
    <row r="43" spans="1:22">
      <c r="A43" s="1" t="s">
        <v>108</v>
      </c>
      <c r="B43" s="1"/>
      <c r="C43" s="1" t="s">
        <v>152</v>
      </c>
      <c r="D43" s="1" t="s">
        <v>170</v>
      </c>
      <c r="E43" s="1" t="s">
        <v>152</v>
      </c>
      <c r="F43" s="1" t="s">
        <v>154</v>
      </c>
      <c r="G43" s="1" t="s">
        <v>152</v>
      </c>
      <c r="H43" s="1" t="s">
        <v>147</v>
      </c>
      <c r="I43" s="1" t="s">
        <v>154</v>
      </c>
      <c r="J43" s="1">
        <f>_xlfn.XLOOKUP(I43,'rank lookup'!$A$1:$A$21,'rank lookup'!$B$1:$B$21,,0)</f>
        <v>20</v>
      </c>
      <c r="K43" s="1"/>
      <c r="L43" s="25">
        <v>185</v>
      </c>
      <c r="M43" s="25">
        <v>194</v>
      </c>
      <c r="N43" s="5">
        <f t="shared" si="0"/>
        <v>56.683710737764791</v>
      </c>
      <c r="O43" s="4">
        <f t="shared" si="1"/>
        <v>72.834645669291348</v>
      </c>
      <c r="P43">
        <f t="shared" si="2"/>
        <v>6</v>
      </c>
      <c r="Q43">
        <f t="shared" si="3"/>
        <v>0.8</v>
      </c>
      <c r="R43" t="str">
        <f t="shared" si="4"/>
        <v>6' 0.8"</v>
      </c>
      <c r="S43">
        <f t="shared" si="5"/>
        <v>428</v>
      </c>
      <c r="T43">
        <f t="shared" si="7"/>
        <v>20</v>
      </c>
      <c r="U43">
        <f t="shared" si="7"/>
        <v>2</v>
      </c>
      <c r="V43">
        <f t="shared" si="7"/>
        <v>2</v>
      </c>
    </row>
    <row r="44" spans="1:22">
      <c r="A44" s="1" t="s">
        <v>167</v>
      </c>
      <c r="D44" t="s">
        <v>152</v>
      </c>
      <c r="E44" t="s">
        <v>148</v>
      </c>
      <c r="F44" t="s">
        <v>148</v>
      </c>
      <c r="G44" s="1" t="s">
        <v>186</v>
      </c>
      <c r="H44" s="1" t="s">
        <v>241</v>
      </c>
      <c r="I44" s="1" t="s">
        <v>154</v>
      </c>
      <c r="J44" s="1">
        <f>_xlfn.XLOOKUP(I44,'rank lookup'!$A$1:$A$21,'rank lookup'!$B$1:$B$21,,0)</f>
        <v>20</v>
      </c>
      <c r="L44" s="25">
        <v>193</v>
      </c>
      <c r="M44" s="25">
        <v>156</v>
      </c>
      <c r="N44" s="5">
        <f t="shared" si="0"/>
        <v>41.880318934736501</v>
      </c>
      <c r="O44" s="4">
        <f t="shared" si="1"/>
        <v>75.984251968503941</v>
      </c>
      <c r="P44">
        <f t="shared" si="2"/>
        <v>6</v>
      </c>
      <c r="Q44">
        <f t="shared" si="3"/>
        <v>4</v>
      </c>
      <c r="R44" t="str">
        <f t="shared" si="4"/>
        <v>6' 4"</v>
      </c>
      <c r="S44">
        <f t="shared" si="5"/>
        <v>344</v>
      </c>
      <c r="T44">
        <f t="shared" si="7"/>
        <v>2</v>
      </c>
      <c r="U44">
        <f t="shared" si="7"/>
        <v>26</v>
      </c>
      <c r="V44">
        <f t="shared" si="7"/>
        <v>38</v>
      </c>
    </row>
    <row r="45" spans="1:22">
      <c r="A45" s="1" t="s">
        <v>188</v>
      </c>
      <c r="F45" t="s">
        <v>150</v>
      </c>
      <c r="G45" t="s">
        <v>147</v>
      </c>
      <c r="H45" s="1" t="s">
        <v>151</v>
      </c>
      <c r="I45" s="1" t="s">
        <v>186</v>
      </c>
      <c r="J45" s="1">
        <f>_xlfn.XLOOKUP(I45,'rank lookup'!$A$1:$A$21,'rank lookup'!$B$1:$B$21,,0)</f>
        <v>21</v>
      </c>
      <c r="K45" s="1"/>
      <c r="L45" s="25">
        <v>185</v>
      </c>
      <c r="M45" s="25">
        <v>196</v>
      </c>
      <c r="N45" s="5">
        <f t="shared" si="0"/>
        <v>57.268078889700504</v>
      </c>
      <c r="O45" s="4">
        <f t="shared" si="1"/>
        <v>72.834645669291348</v>
      </c>
      <c r="P45">
        <f t="shared" si="2"/>
        <v>6</v>
      </c>
      <c r="Q45">
        <f t="shared" si="3"/>
        <v>0.8</v>
      </c>
      <c r="R45" t="str">
        <f t="shared" si="4"/>
        <v>6' 0.8"</v>
      </c>
      <c r="S45">
        <f t="shared" si="5"/>
        <v>432</v>
      </c>
      <c r="T45">
        <f t="shared" si="7"/>
        <v>20</v>
      </c>
      <c r="U45">
        <f t="shared" si="7"/>
        <v>1</v>
      </c>
      <c r="V45">
        <f t="shared" si="7"/>
        <v>1</v>
      </c>
    </row>
    <row r="46" spans="1:22">
      <c r="A46" s="1" t="s">
        <v>114</v>
      </c>
      <c r="B46" s="1"/>
      <c r="C46" s="1" t="s">
        <v>31</v>
      </c>
      <c r="D46" s="1" t="s">
        <v>31</v>
      </c>
      <c r="E46" s="1" t="s">
        <v>31</v>
      </c>
      <c r="F46" s="1" t="s">
        <v>31</v>
      </c>
      <c r="G46" s="1" t="s">
        <v>42</v>
      </c>
      <c r="H46" s="1" t="s">
        <v>148</v>
      </c>
      <c r="I46" s="1"/>
      <c r="J46" s="1" t="e">
        <f>_xlfn.XLOOKUP(I46,'rank lookup'!$A$1:$A$21,'rank lookup'!$B$1:$B$21,,0)</f>
        <v>#N/A</v>
      </c>
      <c r="K46" s="1"/>
      <c r="L46" s="23">
        <v>182</v>
      </c>
      <c r="M46" s="23">
        <v>132</v>
      </c>
      <c r="N46" s="5">
        <f t="shared" si="0"/>
        <v>39.850259630479414</v>
      </c>
      <c r="O46" s="4">
        <f t="shared" si="1"/>
        <v>71.653543307086608</v>
      </c>
      <c r="P46">
        <f t="shared" si="2"/>
        <v>5</v>
      </c>
      <c r="Q46">
        <f t="shared" si="3"/>
        <v>11.7</v>
      </c>
      <c r="R46" t="str">
        <f t="shared" si="4"/>
        <v>5' 11.7"</v>
      </c>
      <c r="S46">
        <f t="shared" si="5"/>
        <v>291</v>
      </c>
    </row>
    <row r="47" spans="1:22">
      <c r="A47" s="1" t="s">
        <v>190</v>
      </c>
      <c r="F47" t="s">
        <v>151</v>
      </c>
      <c r="G47" s="1" t="s">
        <v>170</v>
      </c>
      <c r="H47" s="1" t="s">
        <v>154</v>
      </c>
      <c r="I47" s="1"/>
      <c r="J47" s="1" t="e">
        <f>_xlfn.XLOOKUP(I47,'rank lookup'!$A$1:$A$21,'rank lookup'!$B$1:$B$21,,0)</f>
        <v>#N/A</v>
      </c>
      <c r="L47" s="23">
        <v>171</v>
      </c>
      <c r="M47" s="23">
        <v>171</v>
      </c>
      <c r="N47" s="5">
        <f t="shared" si="0"/>
        <v>58.479532163742689</v>
      </c>
      <c r="O47" s="4">
        <f t="shared" si="1"/>
        <v>67.322834645669289</v>
      </c>
      <c r="P47">
        <f t="shared" si="2"/>
        <v>5</v>
      </c>
      <c r="Q47">
        <f t="shared" si="3"/>
        <v>7.3</v>
      </c>
      <c r="R47" t="str">
        <f t="shared" si="4"/>
        <v>5' 7.3"</v>
      </c>
      <c r="S47">
        <f t="shared" si="5"/>
        <v>377</v>
      </c>
    </row>
    <row r="48" spans="1:22">
      <c r="A48" s="1" t="s">
        <v>89</v>
      </c>
      <c r="B48" s="1">
        <v>1</v>
      </c>
      <c r="C48" s="1" t="s">
        <v>42</v>
      </c>
      <c r="D48" s="1" t="s">
        <v>136</v>
      </c>
      <c r="E48" s="1" t="s">
        <v>135</v>
      </c>
      <c r="F48" s="1" t="s">
        <v>170</v>
      </c>
      <c r="G48" s="1" t="s">
        <v>150</v>
      </c>
      <c r="H48" s="1" t="s">
        <v>179</v>
      </c>
      <c r="I48" s="1"/>
      <c r="J48" s="1" t="e">
        <f>_xlfn.XLOOKUP(I48,'rank lookup'!$A$1:$A$21,'rank lookup'!$B$1:$B$21,,0)</f>
        <v>#N/A</v>
      </c>
      <c r="K48" s="1"/>
      <c r="L48" s="23">
        <v>191</v>
      </c>
      <c r="M48" s="23">
        <v>219</v>
      </c>
      <c r="N48" s="5">
        <f t="shared" si="0"/>
        <v>60.031249143389715</v>
      </c>
      <c r="O48" s="4">
        <f t="shared" si="1"/>
        <v>75.196850393700785</v>
      </c>
      <c r="P48">
        <f t="shared" si="2"/>
        <v>6</v>
      </c>
      <c r="Q48">
        <f t="shared" si="3"/>
        <v>3.2</v>
      </c>
      <c r="R48" t="str">
        <f t="shared" si="4"/>
        <v>6' 3.2"</v>
      </c>
      <c r="S48">
        <f t="shared" si="5"/>
        <v>483</v>
      </c>
    </row>
    <row r="49" spans="1:19">
      <c r="A49" s="1" t="s">
        <v>98</v>
      </c>
      <c r="B49" s="1"/>
      <c r="C49" s="1" t="s">
        <v>150</v>
      </c>
      <c r="D49" s="1" t="s">
        <v>151</v>
      </c>
      <c r="E49" s="1" t="s">
        <v>151</v>
      </c>
      <c r="F49" s="1" t="s">
        <v>142</v>
      </c>
      <c r="G49" s="1" t="s">
        <v>152</v>
      </c>
      <c r="H49" s="1" t="s">
        <v>170</v>
      </c>
      <c r="I49" s="1"/>
      <c r="J49" s="1" t="e">
        <f>_xlfn.XLOOKUP(I49,'rank lookup'!$A$1:$A$21,'rank lookup'!$B$1:$B$21,,0)</f>
        <v>#N/A</v>
      </c>
      <c r="K49" s="1"/>
      <c r="L49" s="23">
        <v>187</v>
      </c>
      <c r="M49" s="23">
        <v>144</v>
      </c>
      <c r="N49" s="5">
        <f t="shared" si="0"/>
        <v>41.179330263948074</v>
      </c>
      <c r="O49" s="4">
        <f t="shared" si="1"/>
        <v>73.622047244094489</v>
      </c>
      <c r="P49">
        <f t="shared" si="2"/>
        <v>6</v>
      </c>
      <c r="Q49">
        <f t="shared" si="3"/>
        <v>1.6</v>
      </c>
      <c r="R49" t="str">
        <f t="shared" si="4"/>
        <v>6' 1.6"</v>
      </c>
      <c r="S49">
        <f t="shared" si="5"/>
        <v>317</v>
      </c>
    </row>
    <row r="50" spans="1:19">
      <c r="A50" t="s">
        <v>153</v>
      </c>
      <c r="C50" s="1" t="s">
        <v>154</v>
      </c>
      <c r="D50" s="1" t="s">
        <v>170</v>
      </c>
      <c r="E50" s="1" t="s">
        <v>152</v>
      </c>
      <c r="F50" s="1" t="s">
        <v>186</v>
      </c>
      <c r="G50" s="1" t="s">
        <v>154</v>
      </c>
      <c r="H50" s="1" t="s">
        <v>192</v>
      </c>
      <c r="I50" s="1"/>
      <c r="J50" s="1" t="e">
        <f>_xlfn.XLOOKUP(I50,'rank lookup'!$A$1:$A$21,'rank lookup'!$B$1:$B$21,,0)</f>
        <v>#N/A</v>
      </c>
      <c r="K50" s="1"/>
      <c r="L50" s="23">
        <v>189</v>
      </c>
      <c r="M50" s="23">
        <v>199</v>
      </c>
      <c r="N50" s="5">
        <f t="shared" si="0"/>
        <v>55.709526608997514</v>
      </c>
      <c r="O50" s="4">
        <f t="shared" si="1"/>
        <v>74.409448818897644</v>
      </c>
      <c r="P50">
        <f t="shared" si="2"/>
        <v>6</v>
      </c>
      <c r="Q50">
        <f t="shared" si="3"/>
        <v>2.4</v>
      </c>
      <c r="R50" t="str">
        <f t="shared" si="4"/>
        <v>6' 2.4"</v>
      </c>
      <c r="S50">
        <f t="shared" si="5"/>
        <v>439</v>
      </c>
    </row>
    <row r="51" spans="1:19">
      <c r="A51" s="1" t="s">
        <v>166</v>
      </c>
      <c r="D51" t="s">
        <v>151</v>
      </c>
      <c r="E51" s="1" t="s">
        <v>151</v>
      </c>
      <c r="F51" s="1" t="s">
        <v>147</v>
      </c>
      <c r="G51" s="1" t="s">
        <v>192</v>
      </c>
      <c r="H51" s="1" t="s">
        <v>245</v>
      </c>
      <c r="I51" s="1"/>
      <c r="J51" s="1" t="e">
        <f>_xlfn.XLOOKUP(I51,'rank lookup'!$A$1:$A$21,'rank lookup'!$B$1:$B$21,,0)</f>
        <v>#N/A</v>
      </c>
      <c r="K51" s="1"/>
      <c r="L51" s="23">
        <v>192</v>
      </c>
      <c r="M51" s="23">
        <v>159</v>
      </c>
      <c r="N51" s="5">
        <f t="shared" si="0"/>
        <v>43.131510416666671</v>
      </c>
      <c r="O51" s="4">
        <f t="shared" si="1"/>
        <v>75.59055118110237</v>
      </c>
      <c r="P51">
        <f t="shared" si="2"/>
        <v>6</v>
      </c>
      <c r="Q51">
        <f t="shared" si="3"/>
        <v>3.6</v>
      </c>
      <c r="R51" t="str">
        <f t="shared" si="4"/>
        <v>6' 3.6"</v>
      </c>
      <c r="S51">
        <f t="shared" si="5"/>
        <v>351</v>
      </c>
    </row>
    <row r="52" spans="1:19">
      <c r="A52" s="1" t="s">
        <v>87</v>
      </c>
      <c r="B52" s="1">
        <v>1</v>
      </c>
      <c r="C52" s="1" t="s">
        <v>142</v>
      </c>
      <c r="D52" s="1" t="s">
        <v>142</v>
      </c>
      <c r="E52" s="1" t="s">
        <v>147</v>
      </c>
      <c r="F52" s="1" t="s">
        <v>192</v>
      </c>
      <c r="G52" s="1" t="s">
        <v>232</v>
      </c>
      <c r="H52" s="1" t="s">
        <v>179</v>
      </c>
      <c r="I52" s="1"/>
      <c r="J52" s="1" t="e">
        <f>_xlfn.XLOOKUP(I52,'rank lookup'!$A$1:$A$21,'rank lookup'!$B$1:$B$21,,0)</f>
        <v>#N/A</v>
      </c>
      <c r="K52" s="1"/>
      <c r="L52" s="23">
        <v>192</v>
      </c>
      <c r="M52" s="23">
        <v>189</v>
      </c>
      <c r="N52" s="5">
        <f t="shared" si="0"/>
        <v>51.26953125</v>
      </c>
      <c r="O52" s="4">
        <f t="shared" si="1"/>
        <v>75.59055118110237</v>
      </c>
      <c r="P52">
        <f t="shared" si="2"/>
        <v>6</v>
      </c>
      <c r="Q52">
        <f t="shared" si="3"/>
        <v>3.6</v>
      </c>
      <c r="R52" t="str">
        <f t="shared" si="4"/>
        <v>6' 3.6"</v>
      </c>
      <c r="S52">
        <f t="shared" si="5"/>
        <v>417</v>
      </c>
    </row>
    <row r="53" spans="1:19">
      <c r="A53" s="1" t="s">
        <v>90</v>
      </c>
      <c r="B53" s="1"/>
      <c r="C53" s="1" t="s">
        <v>148</v>
      </c>
      <c r="D53" s="1" t="s">
        <v>150</v>
      </c>
      <c r="E53" s="1" t="s">
        <v>148</v>
      </c>
      <c r="F53" s="1" t="s">
        <v>179</v>
      </c>
      <c r="G53" s="1"/>
      <c r="H53" s="1"/>
      <c r="I53" s="1"/>
      <c r="J53" s="1" t="e">
        <f>_xlfn.XLOOKUP(I53,'rank lookup'!$A$1:$A$21,'rank lookup'!$B$1:$B$21,,0)</f>
        <v>#N/A</v>
      </c>
      <c r="K53" s="1"/>
      <c r="L53" s="23">
        <v>189</v>
      </c>
      <c r="M53" s="23">
        <v>161</v>
      </c>
      <c r="N53" s="5">
        <f t="shared" si="0"/>
        <v>45.071526553008034</v>
      </c>
      <c r="O53" s="4">
        <f t="shared" si="1"/>
        <v>74.409448818897644</v>
      </c>
      <c r="P53">
        <f t="shared" si="2"/>
        <v>6</v>
      </c>
      <c r="Q53">
        <f t="shared" si="3"/>
        <v>2.4</v>
      </c>
      <c r="R53" t="str">
        <f t="shared" si="4"/>
        <v>6' 2.4"</v>
      </c>
      <c r="S53">
        <f t="shared" si="5"/>
        <v>355</v>
      </c>
    </row>
    <row r="54" spans="1:19">
      <c r="A54" t="s">
        <v>119</v>
      </c>
      <c r="E54" s="1" t="s">
        <v>154</v>
      </c>
      <c r="F54" s="1" t="s">
        <v>169</v>
      </c>
      <c r="G54" s="1" t="s">
        <v>180</v>
      </c>
      <c r="H54" s="1" t="s">
        <v>246</v>
      </c>
      <c r="I54" s="1"/>
      <c r="J54" s="1" t="e">
        <f>_xlfn.XLOOKUP(I54,'rank lookup'!$A$1:$A$21,'rank lookup'!$B$1:$B$21,,0)</f>
        <v>#N/A</v>
      </c>
      <c r="K54" s="1"/>
      <c r="L54" s="23">
        <v>178</v>
      </c>
      <c r="M54" s="23">
        <v>166</v>
      </c>
      <c r="N54" s="5">
        <f t="shared" si="0"/>
        <v>52.392374700164119</v>
      </c>
      <c r="O54" s="4">
        <f t="shared" si="1"/>
        <v>70.078740157480311</v>
      </c>
      <c r="P54">
        <f t="shared" si="2"/>
        <v>5</v>
      </c>
      <c r="Q54">
        <f t="shared" si="3"/>
        <v>10.1</v>
      </c>
      <c r="R54" t="str">
        <f t="shared" si="4"/>
        <v>5' 10.1"</v>
      </c>
      <c r="S54">
        <f t="shared" si="5"/>
        <v>366</v>
      </c>
    </row>
    <row r="55" spans="1:19">
      <c r="A55" s="1" t="s">
        <v>113</v>
      </c>
      <c r="B55" s="1"/>
      <c r="C55" s="1" t="s">
        <v>147</v>
      </c>
      <c r="D55" s="1" t="s">
        <v>148</v>
      </c>
      <c r="E55" s="1" t="s">
        <v>179</v>
      </c>
      <c r="F55" s="1"/>
      <c r="G55" s="1"/>
      <c r="H55" s="1"/>
      <c r="I55" s="1"/>
      <c r="J55" s="1" t="e">
        <f>_xlfn.XLOOKUP(I55,'rank lookup'!$A$1:$A$21,'rank lookup'!$B$1:$B$21,,0)</f>
        <v>#N/A</v>
      </c>
      <c r="K55" s="1"/>
      <c r="L55" s="23">
        <v>181</v>
      </c>
      <c r="M55" s="23">
        <v>189</v>
      </c>
      <c r="N55" s="5">
        <f t="shared" si="0"/>
        <v>57.690546686609082</v>
      </c>
      <c r="O55" s="4">
        <f t="shared" si="1"/>
        <v>71.259842519685037</v>
      </c>
      <c r="P55">
        <f t="shared" si="2"/>
        <v>5</v>
      </c>
      <c r="Q55">
        <f t="shared" si="3"/>
        <v>11.3</v>
      </c>
      <c r="R55" t="str">
        <f t="shared" si="4"/>
        <v>5' 11.3"</v>
      </c>
      <c r="S55">
        <f t="shared" si="5"/>
        <v>417</v>
      </c>
    </row>
    <row r="56" spans="1:19">
      <c r="A56" s="1" t="s">
        <v>126</v>
      </c>
      <c r="B56" s="1"/>
      <c r="C56" s="1" t="s">
        <v>152</v>
      </c>
      <c r="D56" s="1" t="s">
        <v>154</v>
      </c>
      <c r="E56" s="1" t="s">
        <v>180</v>
      </c>
      <c r="F56" s="1" t="s">
        <v>194</v>
      </c>
      <c r="G56" s="1" t="s">
        <v>233</v>
      </c>
      <c r="H56" s="1"/>
      <c r="I56" s="1"/>
      <c r="J56" s="1" t="e">
        <f>_xlfn.XLOOKUP(I56,'rank lookup'!$A$1:$A$21,'rank lookup'!$B$1:$B$21,,0)</f>
        <v>#N/A</v>
      </c>
      <c r="K56" s="1"/>
      <c r="L56" s="23">
        <v>169</v>
      </c>
      <c r="M56" s="23">
        <v>107</v>
      </c>
      <c r="N56" s="5">
        <f t="shared" si="0"/>
        <v>37.463674241098005</v>
      </c>
      <c r="O56" s="4">
        <f t="shared" si="1"/>
        <v>66.535433070866134</v>
      </c>
      <c r="P56">
        <f t="shared" si="2"/>
        <v>5</v>
      </c>
      <c r="Q56">
        <f t="shared" si="3"/>
        <v>6.5</v>
      </c>
      <c r="R56" t="str">
        <f t="shared" si="4"/>
        <v>5' 6.5"</v>
      </c>
      <c r="S56">
        <f t="shared" si="5"/>
        <v>236</v>
      </c>
    </row>
    <row r="57" spans="1:19">
      <c r="A57" s="1" t="s">
        <v>107</v>
      </c>
      <c r="B57" s="1"/>
      <c r="C57" s="1" t="s">
        <v>151</v>
      </c>
      <c r="D57" s="1" t="s">
        <v>169</v>
      </c>
      <c r="E57" s="1" t="s">
        <v>179</v>
      </c>
      <c r="F57" s="1"/>
      <c r="G57" s="1"/>
      <c r="H57" s="1"/>
      <c r="I57" s="1"/>
      <c r="J57" s="1" t="e">
        <f>_xlfn.XLOOKUP(I57,'rank lookup'!$A$1:$A$21,'rank lookup'!$B$1:$B$21,,0)</f>
        <v>#N/A</v>
      </c>
      <c r="K57" s="1"/>
      <c r="L57" s="23">
        <v>185</v>
      </c>
      <c r="M57" s="23">
        <v>181</v>
      </c>
      <c r="N57" s="5">
        <f t="shared" si="0"/>
        <v>52.885317750182615</v>
      </c>
      <c r="O57" s="4">
        <f t="shared" si="1"/>
        <v>72.834645669291348</v>
      </c>
      <c r="P57">
        <f t="shared" si="2"/>
        <v>6</v>
      </c>
      <c r="Q57">
        <f t="shared" si="3"/>
        <v>0.8</v>
      </c>
      <c r="R57" t="str">
        <f t="shared" si="4"/>
        <v>6' 0.8"</v>
      </c>
      <c r="S57">
        <f t="shared" si="5"/>
        <v>399</v>
      </c>
    </row>
    <row r="58" spans="1:19">
      <c r="A58" s="1" t="s">
        <v>248</v>
      </c>
      <c r="L58" s="23">
        <v>190.5</v>
      </c>
      <c r="M58" s="23">
        <v>97.5</v>
      </c>
      <c r="N58" s="5">
        <f t="shared" si="0"/>
        <v>26.866720400107468</v>
      </c>
      <c r="O58" s="4">
        <f t="shared" si="1"/>
        <v>75</v>
      </c>
      <c r="P58">
        <f t="shared" si="2"/>
        <v>6</v>
      </c>
      <c r="Q58">
        <f t="shared" si="3"/>
        <v>3</v>
      </c>
      <c r="R58" t="str">
        <f t="shared" si="4"/>
        <v>6' 3"</v>
      </c>
      <c r="S58">
        <f t="shared" si="5"/>
        <v>215</v>
      </c>
    </row>
  </sheetData>
  <autoFilter ref="A3:S55" xr:uid="{7067DD38-AD06-4250-9520-A2F29B57D9C0}">
    <sortState xmlns:xlrd2="http://schemas.microsoft.com/office/spreadsheetml/2017/richdata2" ref="A4:S58">
      <sortCondition ref="J3:J55"/>
    </sortState>
  </autoFilter>
  <hyperlinks>
    <hyperlink ref="C2" r:id="rId1" xr:uid="{BA34AA63-440B-4831-A080-55BB16E02F84}"/>
    <hyperlink ref="L2" r:id="rId2" xr:uid="{D984A836-71D9-4F0D-9E01-77B5E294881D}"/>
  </hyperlinks>
  <pageMargins left="0.7" right="0.7" top="0.75" bottom="0.75" header="0.3" footer="0.3"/>
  <pageSetup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F2331-E5CC-4D70-9BA8-CB5AD312447B}">
  <dimension ref="A1:AE57"/>
  <sheetViews>
    <sheetView zoomScaleNormal="100" workbookViewId="0">
      <pane xSplit="1" ySplit="3" topLeftCell="M4" activePane="bottomRight" state="frozen"/>
      <selection pane="topRight" activeCell="B1" sqref="B1"/>
      <selection pane="bottomLeft" activeCell="A4" sqref="A4"/>
      <selection pane="bottomRight" activeCell="AE2" sqref="AE2"/>
    </sheetView>
  </sheetViews>
  <sheetFormatPr defaultRowHeight="14.5" outlineLevelCol="1"/>
  <cols>
    <col min="1" max="1" width="21.1796875" customWidth="1"/>
    <col min="2" max="8" width="21.1796875" hidden="1" customWidth="1" outlineLevel="1"/>
    <col min="9" max="9" width="21.1796875" customWidth="1" collapsed="1"/>
    <col min="10" max="11" width="21.1796875" customWidth="1"/>
    <col min="14" max="14" width="11.26953125" hidden="1" customWidth="1" outlineLevel="1"/>
    <col min="15" max="15" width="0" style="4" hidden="1" customWidth="1" outlineLevel="1"/>
    <col min="16" max="21" width="0" hidden="1" customWidth="1" outlineLevel="1"/>
    <col min="22" max="22" width="9.54296875" hidden="1" customWidth="1" outlineLevel="1"/>
    <col min="23" max="23" width="8.7265625" collapsed="1"/>
  </cols>
  <sheetData>
    <row r="1" spans="1:31">
      <c r="C1" t="s">
        <v>174</v>
      </c>
      <c r="L1" t="s">
        <v>256</v>
      </c>
    </row>
    <row r="2" spans="1:31">
      <c r="C2" s="17" t="s">
        <v>162</v>
      </c>
      <c r="D2" s="17"/>
      <c r="E2" s="17"/>
      <c r="F2" s="17"/>
      <c r="G2" s="17"/>
      <c r="H2" s="17"/>
      <c r="I2" s="17"/>
      <c r="L2" s="17" t="s">
        <v>134</v>
      </c>
      <c r="T2">
        <f>MAX(T4:T45)</f>
        <v>42</v>
      </c>
      <c r="U2">
        <f>MAX(U4:U45)</f>
        <v>42</v>
      </c>
      <c r="V2">
        <f>MAX(V4:V45)</f>
        <v>42</v>
      </c>
      <c r="AB2">
        <f>SUM(AB4:AB23)</f>
        <v>42</v>
      </c>
      <c r="AE2">
        <f>SUM(AE4:AE23)</f>
        <v>42</v>
      </c>
    </row>
    <row r="3" spans="1:31" ht="72.5">
      <c r="A3" t="s">
        <v>3</v>
      </c>
      <c r="B3" t="s">
        <v>11</v>
      </c>
      <c r="C3" t="s">
        <v>131</v>
      </c>
      <c r="D3" t="s">
        <v>163</v>
      </c>
      <c r="E3" t="s">
        <v>175</v>
      </c>
      <c r="F3" t="s">
        <v>185</v>
      </c>
      <c r="G3" t="s">
        <v>230</v>
      </c>
      <c r="H3" t="s">
        <v>237</v>
      </c>
      <c r="I3" t="s">
        <v>249</v>
      </c>
      <c r="J3" t="s">
        <v>177</v>
      </c>
      <c r="K3" t="s">
        <v>250</v>
      </c>
      <c r="L3" t="s">
        <v>5</v>
      </c>
      <c r="M3" t="s">
        <v>4</v>
      </c>
      <c r="N3" t="s">
        <v>26</v>
      </c>
      <c r="O3" s="4" t="s">
        <v>6</v>
      </c>
      <c r="P3" t="s">
        <v>7</v>
      </c>
      <c r="Q3" t="s">
        <v>8</v>
      </c>
      <c r="R3" t="s">
        <v>9</v>
      </c>
      <c r="S3" t="s">
        <v>10</v>
      </c>
      <c r="T3" t="s">
        <v>171</v>
      </c>
      <c r="U3" t="s">
        <v>172</v>
      </c>
      <c r="V3" t="s">
        <v>173</v>
      </c>
      <c r="W3" s="34" t="s">
        <v>288</v>
      </c>
      <c r="X3" s="34" t="s">
        <v>289</v>
      </c>
      <c r="AA3" s="35" t="s">
        <v>290</v>
      </c>
      <c r="AB3" s="34" t="s">
        <v>291</v>
      </c>
      <c r="AD3" s="34" t="s">
        <v>292</v>
      </c>
      <c r="AE3" s="34" t="s">
        <v>291</v>
      </c>
    </row>
    <row r="4" spans="1:31">
      <c r="A4" s="1" t="s">
        <v>86</v>
      </c>
      <c r="B4" s="1">
        <v>8</v>
      </c>
      <c r="C4" s="1" t="s">
        <v>14</v>
      </c>
      <c r="D4" s="1" t="s">
        <v>14</v>
      </c>
      <c r="E4" s="1" t="s">
        <v>14</v>
      </c>
      <c r="F4" s="1" t="s">
        <v>14</v>
      </c>
      <c r="G4" s="1" t="s">
        <v>14</v>
      </c>
      <c r="H4" s="1" t="s">
        <v>14</v>
      </c>
      <c r="I4" s="1" t="s">
        <v>14</v>
      </c>
      <c r="J4" s="1">
        <f>_xlfn.XLOOKUP(I4,'rank lookup'!$A$1:$A$21,'rank lookup'!$B$1:$B$21,,0)</f>
        <v>1</v>
      </c>
      <c r="K4" s="31" t="s">
        <v>257</v>
      </c>
      <c r="L4" s="25">
        <v>192</v>
      </c>
      <c r="M4" s="25">
        <v>170</v>
      </c>
      <c r="N4" s="5">
        <f t="shared" ref="N4:N35" si="0">M4/(L4*L4)*10000</f>
        <v>46.115451388888893</v>
      </c>
      <c r="O4" s="4">
        <f t="shared" ref="O4:O35" si="1">CONVERT(L4,"cm","in")</f>
        <v>75.59055118110237</v>
      </c>
      <c r="P4">
        <f t="shared" ref="P4:P35" si="2">_xlfn.FLOOR.MATH(O4/12)</f>
        <v>6</v>
      </c>
      <c r="Q4">
        <f t="shared" ref="Q4:Q35" si="3">ROUND(O4-P4*12,1)</f>
        <v>3.6</v>
      </c>
      <c r="R4" t="str">
        <f t="shared" ref="R4:R35" si="4">P4&amp;"' "&amp;Q4&amp;""""</f>
        <v>6' 3.6"</v>
      </c>
      <c r="S4">
        <f t="shared" ref="S4:S35" si="5">ROUND(CONVERT(M4,"kg","lbm"),0)</f>
        <v>375</v>
      </c>
      <c r="T4">
        <f>_xlfn.RANK.EQ(L4,L$4:L$45)</f>
        <v>4</v>
      </c>
      <c r="U4">
        <f>_xlfn.RANK.EQ(M4,M$4:M$45)</f>
        <v>13</v>
      </c>
      <c r="V4">
        <f>_xlfn.RANK.EQ(N4,N$4:N$45)</f>
        <v>26</v>
      </c>
      <c r="W4" s="33">
        <v>-4</v>
      </c>
      <c r="X4" s="33">
        <v>0</v>
      </c>
      <c r="AA4" cm="1">
        <f t="array" ref="AA4:AA23">_xlfn.SEQUENCE(20,1,-7)</f>
        <v>-7</v>
      </c>
      <c r="AB4">
        <f>COUNTIF($W$4:$W$45,AA4)</f>
        <v>1</v>
      </c>
      <c r="AD4">
        <v>-1</v>
      </c>
      <c r="AE4">
        <f>COUNTIF($X$4:$X$45,AD4)</f>
        <v>7</v>
      </c>
    </row>
    <row r="5" spans="1:31">
      <c r="A5" s="1" t="s">
        <v>123</v>
      </c>
      <c r="B5" s="1">
        <v>2</v>
      </c>
      <c r="C5" s="1" t="s">
        <v>39</v>
      </c>
      <c r="D5" s="1" t="s">
        <v>39</v>
      </c>
      <c r="E5" s="1" t="s">
        <v>39</v>
      </c>
      <c r="F5" s="1" t="s">
        <v>39</v>
      </c>
      <c r="G5" s="1" t="s">
        <v>39</v>
      </c>
      <c r="H5" s="1" t="s">
        <v>39</v>
      </c>
      <c r="I5" s="1" t="s">
        <v>39</v>
      </c>
      <c r="J5" s="1">
        <f>_xlfn.XLOOKUP(I5,'rank lookup'!$A$1:$A$21,'rank lookup'!$B$1:$B$21,,0)</f>
        <v>2</v>
      </c>
      <c r="K5" s="1" t="s">
        <v>258</v>
      </c>
      <c r="L5" s="32">
        <v>175</v>
      </c>
      <c r="M5" s="32">
        <v>165</v>
      </c>
      <c r="N5" s="5">
        <f t="shared" si="0"/>
        <v>53.877551020408163</v>
      </c>
      <c r="O5" s="4">
        <f t="shared" si="1"/>
        <v>68.897637795275585</v>
      </c>
      <c r="P5">
        <f t="shared" si="2"/>
        <v>5</v>
      </c>
      <c r="Q5">
        <f t="shared" si="3"/>
        <v>8.9</v>
      </c>
      <c r="R5" t="str">
        <f t="shared" si="4"/>
        <v>5' 8.9"</v>
      </c>
      <c r="S5">
        <f t="shared" si="5"/>
        <v>364</v>
      </c>
      <c r="T5">
        <f t="shared" ref="T5:V45" si="6">_xlfn.RANK.EQ(L5,L$4:L$45)</f>
        <v>39</v>
      </c>
      <c r="U5">
        <f t="shared" si="6"/>
        <v>19</v>
      </c>
      <c r="V5">
        <f t="shared" si="6"/>
        <v>4</v>
      </c>
      <c r="W5" s="33">
        <v>0</v>
      </c>
      <c r="X5" s="33">
        <v>0</v>
      </c>
      <c r="AA5">
        <v>-6</v>
      </c>
      <c r="AB5">
        <f t="shared" ref="AB5:AB23" si="7">COUNTIF($W$4:$W$45,AA5)</f>
        <v>3</v>
      </c>
      <c r="AD5">
        <v>0</v>
      </c>
      <c r="AE5">
        <f t="shared" ref="AE5:AE8" si="8">COUNTIF($X$4:$X$45,AD5)</f>
        <v>27</v>
      </c>
    </row>
    <row r="6" spans="1:31">
      <c r="A6" s="1" t="s">
        <v>239</v>
      </c>
      <c r="B6" s="1"/>
      <c r="C6" s="1" t="s">
        <v>42</v>
      </c>
      <c r="D6" s="1" t="s">
        <v>42</v>
      </c>
      <c r="E6" s="1" t="s">
        <v>42</v>
      </c>
      <c r="F6" s="1" t="s">
        <v>31</v>
      </c>
      <c r="G6" s="1" t="s">
        <v>31</v>
      </c>
      <c r="H6" s="1" t="s">
        <v>39</v>
      </c>
      <c r="I6" s="1" t="s">
        <v>39</v>
      </c>
      <c r="J6" s="1">
        <f>_xlfn.XLOOKUP(I6,'rank lookup'!$A$1:$A$21,'rank lookup'!$B$1:$B$21,,0)</f>
        <v>2</v>
      </c>
      <c r="K6" s="31" t="s">
        <v>259</v>
      </c>
      <c r="L6" s="32">
        <v>186</v>
      </c>
      <c r="M6" s="32">
        <v>145</v>
      </c>
      <c r="N6" s="5">
        <f t="shared" si="0"/>
        <v>41.912359810382704</v>
      </c>
      <c r="O6" s="4">
        <f t="shared" si="1"/>
        <v>73.228346456692918</v>
      </c>
      <c r="P6">
        <f t="shared" si="2"/>
        <v>6</v>
      </c>
      <c r="Q6">
        <f t="shared" si="3"/>
        <v>1.2</v>
      </c>
      <c r="R6" t="str">
        <f t="shared" si="4"/>
        <v>6' 1.2"</v>
      </c>
      <c r="S6">
        <f t="shared" si="5"/>
        <v>320</v>
      </c>
      <c r="T6">
        <f t="shared" si="6"/>
        <v>17</v>
      </c>
      <c r="U6">
        <f t="shared" si="6"/>
        <v>33</v>
      </c>
      <c r="V6">
        <f t="shared" si="6"/>
        <v>37</v>
      </c>
      <c r="W6" s="33">
        <v>2</v>
      </c>
      <c r="X6" s="33">
        <v>0</v>
      </c>
      <c r="AA6">
        <v>-5</v>
      </c>
      <c r="AB6">
        <f t="shared" si="7"/>
        <v>1</v>
      </c>
      <c r="AD6">
        <v>1</v>
      </c>
      <c r="AE6">
        <f t="shared" si="8"/>
        <v>7</v>
      </c>
    </row>
    <row r="7" spans="1:31" ht="25">
      <c r="A7" s="1" t="s">
        <v>95</v>
      </c>
      <c r="B7" s="1">
        <v>1</v>
      </c>
      <c r="C7" s="1" t="s">
        <v>31</v>
      </c>
      <c r="D7" s="1" t="s">
        <v>31</v>
      </c>
      <c r="E7" s="1" t="s">
        <v>31</v>
      </c>
      <c r="F7" s="1" t="s">
        <v>31</v>
      </c>
      <c r="G7" s="1" t="s">
        <v>31</v>
      </c>
      <c r="H7" s="1" t="s">
        <v>31</v>
      </c>
      <c r="I7" s="1" t="s">
        <v>39</v>
      </c>
      <c r="J7" s="1">
        <f>_xlfn.XLOOKUP(I7,'rank lookup'!$A$1:$A$21,'rank lookup'!$B$1:$B$21,,0)</f>
        <v>2</v>
      </c>
      <c r="K7" s="31" t="s">
        <v>260</v>
      </c>
      <c r="L7" s="32">
        <v>187</v>
      </c>
      <c r="M7" s="32">
        <v>140</v>
      </c>
      <c r="N7" s="5">
        <f t="shared" si="0"/>
        <v>40.035459978838396</v>
      </c>
      <c r="O7" s="4">
        <f t="shared" si="1"/>
        <v>73.622047244094489</v>
      </c>
      <c r="P7">
        <f t="shared" si="2"/>
        <v>6</v>
      </c>
      <c r="Q7">
        <f t="shared" si="3"/>
        <v>1.6</v>
      </c>
      <c r="R7" t="str">
        <f t="shared" si="4"/>
        <v>6' 1.6"</v>
      </c>
      <c r="S7">
        <f t="shared" si="5"/>
        <v>309</v>
      </c>
      <c r="T7">
        <f t="shared" si="6"/>
        <v>15</v>
      </c>
      <c r="U7">
        <f t="shared" si="6"/>
        <v>37</v>
      </c>
      <c r="V7">
        <f t="shared" si="6"/>
        <v>41</v>
      </c>
      <c r="W7" s="33">
        <v>-2</v>
      </c>
      <c r="X7" s="33">
        <v>-1</v>
      </c>
      <c r="AA7">
        <v>-4</v>
      </c>
      <c r="AB7">
        <f t="shared" si="7"/>
        <v>3</v>
      </c>
      <c r="AD7">
        <v>2</v>
      </c>
      <c r="AE7">
        <f t="shared" si="8"/>
        <v>0</v>
      </c>
    </row>
    <row r="8" spans="1:31">
      <c r="A8" s="1" t="s">
        <v>100</v>
      </c>
      <c r="B8" s="1"/>
      <c r="C8" s="1" t="s">
        <v>141</v>
      </c>
      <c r="D8" s="1" t="s">
        <v>139</v>
      </c>
      <c r="E8" s="1" t="s">
        <v>42</v>
      </c>
      <c r="F8" s="1" t="s">
        <v>42</v>
      </c>
      <c r="G8" s="1" t="s">
        <v>31</v>
      </c>
      <c r="H8" s="1" t="s">
        <v>31</v>
      </c>
      <c r="I8" s="1" t="s">
        <v>31</v>
      </c>
      <c r="J8" s="1">
        <f>_xlfn.XLOOKUP(I8,'rank lookup'!$A$1:$A$21,'rank lookup'!$B$1:$B$21,,0)</f>
        <v>3</v>
      </c>
      <c r="K8" s="31" t="s">
        <v>261</v>
      </c>
      <c r="L8" s="32">
        <v>187</v>
      </c>
      <c r="M8" s="32">
        <v>145</v>
      </c>
      <c r="N8" s="5">
        <f t="shared" si="0"/>
        <v>41.465297835225485</v>
      </c>
      <c r="O8" s="4">
        <f t="shared" si="1"/>
        <v>73.622047244094489</v>
      </c>
      <c r="P8">
        <f t="shared" si="2"/>
        <v>6</v>
      </c>
      <c r="Q8">
        <f t="shared" si="3"/>
        <v>1.6</v>
      </c>
      <c r="R8" t="str">
        <f t="shared" si="4"/>
        <v>6' 1.6"</v>
      </c>
      <c r="S8">
        <f t="shared" si="5"/>
        <v>320</v>
      </c>
      <c r="T8">
        <f t="shared" si="6"/>
        <v>15</v>
      </c>
      <c r="U8">
        <f t="shared" si="6"/>
        <v>33</v>
      </c>
      <c r="V8">
        <f t="shared" si="6"/>
        <v>39</v>
      </c>
      <c r="W8" s="33">
        <v>-2</v>
      </c>
      <c r="X8" s="33">
        <v>0</v>
      </c>
      <c r="AA8">
        <v>-3</v>
      </c>
      <c r="AB8">
        <f t="shared" si="7"/>
        <v>0</v>
      </c>
      <c r="AD8">
        <v>3</v>
      </c>
      <c r="AE8">
        <f t="shared" si="8"/>
        <v>1</v>
      </c>
    </row>
    <row r="9" spans="1:31">
      <c r="A9" s="1" t="s">
        <v>112</v>
      </c>
      <c r="B9" s="1">
        <v>1</v>
      </c>
      <c r="C9" s="1" t="s">
        <v>31</v>
      </c>
      <c r="D9" s="1" t="s">
        <v>42</v>
      </c>
      <c r="E9" s="1" t="s">
        <v>132</v>
      </c>
      <c r="F9" s="1" t="s">
        <v>42</v>
      </c>
      <c r="G9" s="1" t="s">
        <v>31</v>
      </c>
      <c r="H9" s="1" t="s">
        <v>31</v>
      </c>
      <c r="I9" s="1" t="s">
        <v>31</v>
      </c>
      <c r="J9" s="1">
        <f>_xlfn.XLOOKUP(I9,'rank lookup'!$A$1:$A$21,'rank lookup'!$B$1:$B$21,,0)</f>
        <v>3</v>
      </c>
      <c r="K9" s="31" t="s">
        <v>262</v>
      </c>
      <c r="L9" s="32">
        <v>182</v>
      </c>
      <c r="M9" s="32">
        <v>167</v>
      </c>
      <c r="N9" s="5">
        <f t="shared" si="0"/>
        <v>50.416616350682283</v>
      </c>
      <c r="O9" s="4">
        <f t="shared" si="1"/>
        <v>71.653543307086608</v>
      </c>
      <c r="P9">
        <f t="shared" si="2"/>
        <v>5</v>
      </c>
      <c r="Q9">
        <f t="shared" si="3"/>
        <v>11.7</v>
      </c>
      <c r="R9" t="str">
        <f t="shared" si="4"/>
        <v>5' 11.7"</v>
      </c>
      <c r="S9">
        <f t="shared" si="5"/>
        <v>368</v>
      </c>
      <c r="T9">
        <f t="shared" si="6"/>
        <v>30</v>
      </c>
      <c r="U9">
        <f t="shared" si="6"/>
        <v>18</v>
      </c>
      <c r="V9">
        <f t="shared" si="6"/>
        <v>10</v>
      </c>
      <c r="W9" s="33">
        <v>3</v>
      </c>
      <c r="X9" s="33">
        <v>0</v>
      </c>
      <c r="AA9">
        <v>-2</v>
      </c>
      <c r="AB9">
        <f t="shared" si="7"/>
        <v>4</v>
      </c>
    </row>
    <row r="10" spans="1:31">
      <c r="A10" s="1" t="s">
        <v>94</v>
      </c>
      <c r="B10" s="1"/>
      <c r="C10" s="1" t="s">
        <v>136</v>
      </c>
      <c r="D10" s="1" t="s">
        <v>132</v>
      </c>
      <c r="E10" s="1" t="s">
        <v>42</v>
      </c>
      <c r="F10" s="1" t="s">
        <v>42</v>
      </c>
      <c r="G10" s="1" t="s">
        <v>42</v>
      </c>
      <c r="H10" s="1" t="s">
        <v>42</v>
      </c>
      <c r="I10" s="1" t="s">
        <v>31</v>
      </c>
      <c r="J10" s="1">
        <f>_xlfn.XLOOKUP(I10,'rank lookup'!$A$1:$A$21,'rank lookup'!$B$1:$B$21,,0)</f>
        <v>3</v>
      </c>
      <c r="K10" s="31" t="s">
        <v>264</v>
      </c>
      <c r="L10" s="32">
        <v>189</v>
      </c>
      <c r="M10" s="32">
        <v>170</v>
      </c>
      <c r="N10" s="5">
        <f t="shared" si="0"/>
        <v>47.591052882058172</v>
      </c>
      <c r="O10" s="4">
        <f t="shared" si="1"/>
        <v>74.409448818897644</v>
      </c>
      <c r="P10">
        <f t="shared" si="2"/>
        <v>6</v>
      </c>
      <c r="Q10">
        <f t="shared" si="3"/>
        <v>2.4</v>
      </c>
      <c r="R10" t="str">
        <f t="shared" si="4"/>
        <v>6' 2.4"</v>
      </c>
      <c r="S10">
        <f t="shared" si="5"/>
        <v>375</v>
      </c>
      <c r="T10">
        <f t="shared" si="6"/>
        <v>9</v>
      </c>
      <c r="U10">
        <f t="shared" si="6"/>
        <v>13</v>
      </c>
      <c r="V10">
        <f t="shared" si="6"/>
        <v>22</v>
      </c>
      <c r="W10" s="33">
        <v>-6</v>
      </c>
      <c r="X10" s="33">
        <v>0</v>
      </c>
      <c r="AA10">
        <v>-1</v>
      </c>
      <c r="AB10">
        <f t="shared" si="7"/>
        <v>6</v>
      </c>
    </row>
    <row r="11" spans="1:31" ht="25">
      <c r="A11" s="1" t="s">
        <v>124</v>
      </c>
      <c r="B11" s="1"/>
      <c r="C11" s="1" t="s">
        <v>132</v>
      </c>
      <c r="D11" s="1" t="s">
        <v>42</v>
      </c>
      <c r="E11" s="1" t="s">
        <v>132</v>
      </c>
      <c r="F11" s="1" t="s">
        <v>42</v>
      </c>
      <c r="G11" s="1" t="s">
        <v>137</v>
      </c>
      <c r="H11" s="1" t="s">
        <v>132</v>
      </c>
      <c r="I11" s="1" t="s">
        <v>42</v>
      </c>
      <c r="J11" s="1">
        <f>_xlfn.XLOOKUP(I11,'rank lookup'!$A$1:$A$21,'rank lookup'!$B$1:$B$21,,0)</f>
        <v>4</v>
      </c>
      <c r="K11" s="31" t="s">
        <v>265</v>
      </c>
      <c r="L11" s="32">
        <v>173</v>
      </c>
      <c r="M11" s="32">
        <v>135</v>
      </c>
      <c r="N11" s="5">
        <f t="shared" si="0"/>
        <v>45.10675264793344</v>
      </c>
      <c r="O11" s="4">
        <f t="shared" si="1"/>
        <v>68.110236220472444</v>
      </c>
      <c r="P11">
        <f t="shared" si="2"/>
        <v>5</v>
      </c>
      <c r="Q11">
        <f t="shared" si="3"/>
        <v>8.1</v>
      </c>
      <c r="R11" t="str">
        <f t="shared" si="4"/>
        <v>5' 8.1"</v>
      </c>
      <c r="S11">
        <f t="shared" si="5"/>
        <v>298</v>
      </c>
      <c r="T11">
        <f t="shared" si="6"/>
        <v>42</v>
      </c>
      <c r="U11">
        <f t="shared" si="6"/>
        <v>40</v>
      </c>
      <c r="V11">
        <f t="shared" si="6"/>
        <v>29</v>
      </c>
      <c r="W11" s="33">
        <v>0</v>
      </c>
      <c r="X11" s="33">
        <v>-1</v>
      </c>
      <c r="AA11">
        <v>0</v>
      </c>
      <c r="AB11">
        <f t="shared" si="7"/>
        <v>5</v>
      </c>
    </row>
    <row r="12" spans="1:31">
      <c r="A12" s="1" t="s">
        <v>138</v>
      </c>
      <c r="C12" s="1" t="s">
        <v>139</v>
      </c>
      <c r="D12" s="1" t="s">
        <v>141</v>
      </c>
      <c r="E12" s="1" t="s">
        <v>140</v>
      </c>
      <c r="F12" s="1" t="s">
        <v>137</v>
      </c>
      <c r="G12" s="1" t="s">
        <v>139</v>
      </c>
      <c r="H12" s="1" t="s">
        <v>132</v>
      </c>
      <c r="I12" s="1" t="s">
        <v>42</v>
      </c>
      <c r="J12" s="1">
        <f>_xlfn.XLOOKUP(I12,'rank lookup'!$A$1:$A$21,'rank lookup'!$B$1:$B$21,,0)</f>
        <v>4</v>
      </c>
      <c r="K12" s="31" t="s">
        <v>263</v>
      </c>
      <c r="L12" s="32">
        <v>185</v>
      </c>
      <c r="M12" s="32">
        <v>184</v>
      </c>
      <c r="N12" s="5">
        <f t="shared" si="0"/>
        <v>53.761869978086196</v>
      </c>
      <c r="O12" s="4">
        <f t="shared" si="1"/>
        <v>72.834645669291348</v>
      </c>
      <c r="P12">
        <f t="shared" si="2"/>
        <v>6</v>
      </c>
      <c r="Q12">
        <f t="shared" si="3"/>
        <v>0.8</v>
      </c>
      <c r="R12" t="str">
        <f t="shared" si="4"/>
        <v>6' 0.8"</v>
      </c>
      <c r="S12">
        <f t="shared" si="5"/>
        <v>406</v>
      </c>
      <c r="T12">
        <f t="shared" si="6"/>
        <v>21</v>
      </c>
      <c r="U12">
        <f t="shared" si="6"/>
        <v>6</v>
      </c>
      <c r="V12">
        <f t="shared" si="6"/>
        <v>5</v>
      </c>
      <c r="W12" s="33">
        <v>4</v>
      </c>
      <c r="X12" s="33">
        <v>0</v>
      </c>
      <c r="AA12">
        <v>1</v>
      </c>
      <c r="AB12">
        <f t="shared" si="7"/>
        <v>2</v>
      </c>
    </row>
    <row r="13" spans="1:31">
      <c r="A13" s="1" t="s">
        <v>117</v>
      </c>
      <c r="B13" s="1"/>
      <c r="C13" s="1" t="s">
        <v>136</v>
      </c>
      <c r="D13" s="1" t="s">
        <v>136</v>
      </c>
      <c r="E13" s="1" t="s">
        <v>42</v>
      </c>
      <c r="F13" s="1" t="s">
        <v>139</v>
      </c>
      <c r="G13" s="1" t="s">
        <v>141</v>
      </c>
      <c r="H13" s="1" t="s">
        <v>137</v>
      </c>
      <c r="I13" s="1" t="s">
        <v>132</v>
      </c>
      <c r="J13" s="1">
        <f>_xlfn.XLOOKUP(I13,'rank lookup'!$A$1:$A$21,'rank lookup'!$B$1:$B$21,,0)</f>
        <v>5</v>
      </c>
      <c r="K13" s="31" t="s">
        <v>266</v>
      </c>
      <c r="L13" s="32">
        <v>180</v>
      </c>
      <c r="M13" s="32">
        <v>155</v>
      </c>
      <c r="N13" s="5">
        <f t="shared" si="0"/>
        <v>47.839506172839506</v>
      </c>
      <c r="O13" s="4">
        <f t="shared" si="1"/>
        <v>70.866141732283467</v>
      </c>
      <c r="P13">
        <f t="shared" si="2"/>
        <v>5</v>
      </c>
      <c r="Q13">
        <f t="shared" si="3"/>
        <v>10.9</v>
      </c>
      <c r="R13" t="str">
        <f t="shared" si="4"/>
        <v>5' 10.9"</v>
      </c>
      <c r="S13">
        <f t="shared" si="5"/>
        <v>342</v>
      </c>
      <c r="T13">
        <f t="shared" si="6"/>
        <v>33</v>
      </c>
      <c r="U13">
        <f t="shared" si="6"/>
        <v>28</v>
      </c>
      <c r="V13">
        <f t="shared" si="6"/>
        <v>19</v>
      </c>
      <c r="W13" s="33">
        <v>1</v>
      </c>
      <c r="X13" s="33">
        <v>0</v>
      </c>
      <c r="AA13">
        <v>2</v>
      </c>
      <c r="AB13">
        <f t="shared" si="7"/>
        <v>5</v>
      </c>
    </row>
    <row r="14" spans="1:31">
      <c r="A14" s="1" t="s">
        <v>103</v>
      </c>
      <c r="B14" s="1"/>
      <c r="C14" s="1" t="s">
        <v>142</v>
      </c>
      <c r="D14" s="1" t="s">
        <v>140</v>
      </c>
      <c r="E14" s="1" t="s">
        <v>141</v>
      </c>
      <c r="F14" s="1" t="s">
        <v>135</v>
      </c>
      <c r="G14" s="1" t="s">
        <v>135</v>
      </c>
      <c r="H14" s="1" t="s">
        <v>143</v>
      </c>
      <c r="I14" s="1" t="s">
        <v>132</v>
      </c>
      <c r="J14" s="1">
        <f>_xlfn.XLOOKUP(I14,'rank lookup'!$A$1:$A$21,'rank lookup'!$B$1:$B$21,,0)</f>
        <v>5</v>
      </c>
      <c r="K14" s="31" t="s">
        <v>262</v>
      </c>
      <c r="L14" s="32">
        <v>184</v>
      </c>
      <c r="M14" s="32">
        <v>161</v>
      </c>
      <c r="N14" s="5">
        <f t="shared" si="0"/>
        <v>47.554347826086961</v>
      </c>
      <c r="O14" s="4">
        <f t="shared" si="1"/>
        <v>72.440944881889763</v>
      </c>
      <c r="P14">
        <f t="shared" si="2"/>
        <v>6</v>
      </c>
      <c r="Q14">
        <f t="shared" si="3"/>
        <v>0.4</v>
      </c>
      <c r="R14" t="str">
        <f t="shared" si="4"/>
        <v>6' 0.4"</v>
      </c>
      <c r="S14">
        <f t="shared" si="5"/>
        <v>355</v>
      </c>
      <c r="T14">
        <f t="shared" si="6"/>
        <v>24</v>
      </c>
      <c r="U14">
        <f t="shared" si="6"/>
        <v>22</v>
      </c>
      <c r="V14">
        <f t="shared" si="6"/>
        <v>23</v>
      </c>
      <c r="W14" s="33">
        <v>3</v>
      </c>
      <c r="X14" s="33">
        <v>0</v>
      </c>
      <c r="AA14">
        <v>3</v>
      </c>
      <c r="AB14">
        <f t="shared" si="7"/>
        <v>5</v>
      </c>
    </row>
    <row r="15" spans="1:31">
      <c r="A15" s="1" t="s">
        <v>93</v>
      </c>
      <c r="B15" s="1">
        <v>1</v>
      </c>
      <c r="C15" s="1" t="s">
        <v>42</v>
      </c>
      <c r="D15" s="1" t="s">
        <v>143</v>
      </c>
      <c r="E15" s="1" t="s">
        <v>137</v>
      </c>
      <c r="F15" s="1" t="s">
        <v>136</v>
      </c>
      <c r="G15" s="1" t="s">
        <v>132</v>
      </c>
      <c r="H15" s="1" t="s">
        <v>42</v>
      </c>
      <c r="I15" s="1" t="s">
        <v>136</v>
      </c>
      <c r="J15" s="1">
        <f>_xlfn.XLOOKUP(I15,'rank lookup'!$A$1:$A$21,'rank lookup'!$B$1:$B$21,,0)</f>
        <v>6</v>
      </c>
      <c r="K15" s="31" t="s">
        <v>267</v>
      </c>
      <c r="L15" s="32">
        <v>186</v>
      </c>
      <c r="M15" s="32">
        <v>160</v>
      </c>
      <c r="N15" s="5">
        <f t="shared" si="0"/>
        <v>46.248121170077461</v>
      </c>
      <c r="O15" s="4">
        <f t="shared" si="1"/>
        <v>73.228346456692918</v>
      </c>
      <c r="P15">
        <f t="shared" si="2"/>
        <v>6</v>
      </c>
      <c r="Q15">
        <f t="shared" si="3"/>
        <v>1.2</v>
      </c>
      <c r="R15" t="str">
        <f t="shared" si="4"/>
        <v>6' 1.2"</v>
      </c>
      <c r="S15">
        <f t="shared" si="5"/>
        <v>353</v>
      </c>
      <c r="T15">
        <f t="shared" si="6"/>
        <v>17</v>
      </c>
      <c r="U15">
        <f t="shared" si="6"/>
        <v>23</v>
      </c>
      <c r="V15">
        <f t="shared" si="6"/>
        <v>25</v>
      </c>
      <c r="W15" s="33">
        <v>2</v>
      </c>
      <c r="X15" s="33">
        <v>0</v>
      </c>
      <c r="AA15">
        <v>4</v>
      </c>
      <c r="AB15">
        <f t="shared" si="7"/>
        <v>4</v>
      </c>
    </row>
    <row r="16" spans="1:31">
      <c r="A16" s="1" t="s">
        <v>231</v>
      </c>
      <c r="G16" t="s">
        <v>151</v>
      </c>
      <c r="H16" t="s">
        <v>139</v>
      </c>
      <c r="I16" t="s">
        <v>136</v>
      </c>
      <c r="J16" s="1">
        <f>_xlfn.XLOOKUP(I16,'rank lookup'!$A$1:$A$21,'rank lookup'!$B$1:$B$21,,0)</f>
        <v>6</v>
      </c>
      <c r="K16" s="31" t="s">
        <v>268</v>
      </c>
      <c r="L16" s="32">
        <v>188</v>
      </c>
      <c r="M16" s="32">
        <v>172</v>
      </c>
      <c r="N16" s="5">
        <f t="shared" si="0"/>
        <v>48.664554096876422</v>
      </c>
      <c r="O16" s="4">
        <f t="shared" si="1"/>
        <v>74.015748031496059</v>
      </c>
      <c r="P16">
        <f t="shared" si="2"/>
        <v>6</v>
      </c>
      <c r="Q16">
        <f t="shared" si="3"/>
        <v>2</v>
      </c>
      <c r="R16" t="str">
        <f t="shared" si="4"/>
        <v>6' 2"</v>
      </c>
      <c r="S16">
        <f t="shared" si="5"/>
        <v>379</v>
      </c>
      <c r="T16">
        <f t="shared" si="6"/>
        <v>12</v>
      </c>
      <c r="U16">
        <f t="shared" si="6"/>
        <v>12</v>
      </c>
      <c r="V16">
        <f t="shared" si="6"/>
        <v>16</v>
      </c>
      <c r="W16" s="33">
        <v>4</v>
      </c>
      <c r="X16" s="33">
        <v>-1</v>
      </c>
      <c r="AA16">
        <v>5</v>
      </c>
      <c r="AB16">
        <f t="shared" si="7"/>
        <v>3</v>
      </c>
    </row>
    <row r="17" spans="1:28">
      <c r="A17" s="1" t="s">
        <v>109</v>
      </c>
      <c r="B17" s="1">
        <v>1</v>
      </c>
      <c r="C17" s="1" t="s">
        <v>39</v>
      </c>
      <c r="D17" s="1" t="s">
        <v>39</v>
      </c>
      <c r="E17" s="1" t="s">
        <v>31</v>
      </c>
      <c r="F17" s="1" t="s">
        <v>132</v>
      </c>
      <c r="G17" s="1" t="s">
        <v>42</v>
      </c>
      <c r="H17" s="1" t="s">
        <v>136</v>
      </c>
      <c r="I17" s="1" t="s">
        <v>137</v>
      </c>
      <c r="J17" s="1">
        <f>_xlfn.XLOOKUP(I17,'rank lookup'!$A$1:$A$21,'rank lookup'!$B$1:$B$21,,0)</f>
        <v>7</v>
      </c>
      <c r="K17" s="31" t="s">
        <v>269</v>
      </c>
      <c r="L17" s="32">
        <v>183</v>
      </c>
      <c r="M17" s="32">
        <v>160</v>
      </c>
      <c r="N17" s="5">
        <f t="shared" si="0"/>
        <v>47.776881961241003</v>
      </c>
      <c r="O17" s="4">
        <f t="shared" si="1"/>
        <v>72.047244094488192</v>
      </c>
      <c r="P17">
        <f t="shared" si="2"/>
        <v>6</v>
      </c>
      <c r="Q17">
        <f t="shared" si="3"/>
        <v>0</v>
      </c>
      <c r="R17" t="str">
        <f t="shared" si="4"/>
        <v>6' 0"</v>
      </c>
      <c r="S17">
        <f t="shared" si="5"/>
        <v>353</v>
      </c>
      <c r="T17">
        <f t="shared" si="6"/>
        <v>28</v>
      </c>
      <c r="U17">
        <f t="shared" si="6"/>
        <v>23</v>
      </c>
      <c r="V17">
        <f t="shared" si="6"/>
        <v>20</v>
      </c>
      <c r="W17" s="33">
        <v>-1</v>
      </c>
      <c r="X17" s="33">
        <v>-1</v>
      </c>
      <c r="AA17">
        <v>6</v>
      </c>
      <c r="AB17">
        <f t="shared" si="7"/>
        <v>0</v>
      </c>
    </row>
    <row r="18" spans="1:28">
      <c r="A18" s="1" t="s">
        <v>92</v>
      </c>
      <c r="B18" s="1">
        <v>2</v>
      </c>
      <c r="C18" s="1" t="s">
        <v>137</v>
      </c>
      <c r="D18" s="1" t="s">
        <v>42</v>
      </c>
      <c r="E18" s="1" t="s">
        <v>136</v>
      </c>
      <c r="F18" s="1" t="s">
        <v>132</v>
      </c>
      <c r="G18" s="1" t="s">
        <v>135</v>
      </c>
      <c r="H18" s="1" t="s">
        <v>135</v>
      </c>
      <c r="I18" s="1" t="s">
        <v>137</v>
      </c>
      <c r="J18" s="1">
        <f>_xlfn.XLOOKUP(I18,'rank lookup'!$A$1:$A$21,'rank lookup'!$B$1:$B$21,,0)</f>
        <v>7</v>
      </c>
      <c r="K18" s="31" t="s">
        <v>263</v>
      </c>
      <c r="L18" s="32">
        <v>189</v>
      </c>
      <c r="M18" s="32">
        <v>178</v>
      </c>
      <c r="N18" s="5">
        <f t="shared" si="0"/>
        <v>49.830631841213851</v>
      </c>
      <c r="O18" s="4">
        <f t="shared" si="1"/>
        <v>74.409448818897644</v>
      </c>
      <c r="P18">
        <f t="shared" si="2"/>
        <v>6</v>
      </c>
      <c r="Q18">
        <f t="shared" si="3"/>
        <v>2.4</v>
      </c>
      <c r="R18" t="str">
        <f t="shared" si="4"/>
        <v>6' 2.4"</v>
      </c>
      <c r="S18">
        <f t="shared" si="5"/>
        <v>392</v>
      </c>
      <c r="T18">
        <f t="shared" si="6"/>
        <v>9</v>
      </c>
      <c r="U18">
        <f t="shared" si="6"/>
        <v>10</v>
      </c>
      <c r="V18">
        <f t="shared" si="6"/>
        <v>12</v>
      </c>
      <c r="W18" s="33">
        <v>4</v>
      </c>
      <c r="X18" s="33">
        <v>0</v>
      </c>
      <c r="AA18">
        <v>7</v>
      </c>
      <c r="AB18">
        <f t="shared" si="7"/>
        <v>0</v>
      </c>
    </row>
    <row r="19" spans="1:28">
      <c r="A19" s="1" t="s">
        <v>121</v>
      </c>
      <c r="B19" s="1"/>
      <c r="C19" s="1" t="s">
        <v>137</v>
      </c>
      <c r="D19" s="1" t="s">
        <v>137</v>
      </c>
      <c r="E19" s="1" t="s">
        <v>135</v>
      </c>
      <c r="F19" s="1" t="s">
        <v>142</v>
      </c>
      <c r="G19" s="1" t="s">
        <v>139</v>
      </c>
      <c r="H19" s="1" t="s">
        <v>139</v>
      </c>
      <c r="I19" s="1" t="s">
        <v>139</v>
      </c>
      <c r="J19" s="1">
        <f>_xlfn.XLOOKUP(I19,'rank lookup'!$A$1:$A$21,'rank lookup'!$B$1:$B$21,,0)</f>
        <v>8</v>
      </c>
      <c r="K19" s="1" t="s">
        <v>258</v>
      </c>
      <c r="L19" s="32">
        <v>175</v>
      </c>
      <c r="M19" s="32">
        <v>143</v>
      </c>
      <c r="N19" s="5">
        <f t="shared" si="0"/>
        <v>46.693877551020407</v>
      </c>
      <c r="O19" s="4">
        <f t="shared" si="1"/>
        <v>68.897637795275585</v>
      </c>
      <c r="P19">
        <f t="shared" si="2"/>
        <v>5</v>
      </c>
      <c r="Q19">
        <f t="shared" si="3"/>
        <v>8.9</v>
      </c>
      <c r="R19" t="str">
        <f t="shared" si="4"/>
        <v>5' 8.9"</v>
      </c>
      <c r="S19">
        <f t="shared" si="5"/>
        <v>315</v>
      </c>
      <c r="T19">
        <f t="shared" si="6"/>
        <v>39</v>
      </c>
      <c r="U19">
        <f t="shared" si="6"/>
        <v>36</v>
      </c>
      <c r="V19">
        <f t="shared" si="6"/>
        <v>24</v>
      </c>
      <c r="W19" s="33">
        <v>0</v>
      </c>
      <c r="X19" s="33">
        <v>0</v>
      </c>
      <c r="AA19">
        <v>8</v>
      </c>
      <c r="AB19">
        <f t="shared" si="7"/>
        <v>0</v>
      </c>
    </row>
    <row r="20" spans="1:28">
      <c r="A20" s="1" t="s">
        <v>101</v>
      </c>
      <c r="B20" s="1"/>
      <c r="C20" s="1" t="s">
        <v>145</v>
      </c>
      <c r="D20" s="1" t="s">
        <v>143</v>
      </c>
      <c r="E20" s="1" t="s">
        <v>143</v>
      </c>
      <c r="F20" s="1" t="s">
        <v>147</v>
      </c>
      <c r="G20" s="1" t="s">
        <v>142</v>
      </c>
      <c r="H20" s="1" t="s">
        <v>143</v>
      </c>
      <c r="I20" s="1" t="s">
        <v>139</v>
      </c>
      <c r="J20" s="1">
        <f>_xlfn.XLOOKUP(I20,'rank lookup'!$A$1:$A$21,'rank lookup'!$B$1:$B$21,,0)</f>
        <v>8</v>
      </c>
      <c r="K20" s="31" t="s">
        <v>270</v>
      </c>
      <c r="L20" s="32">
        <v>184</v>
      </c>
      <c r="M20" s="32">
        <v>169</v>
      </c>
      <c r="N20" s="5">
        <f t="shared" si="0"/>
        <v>49.917296786389414</v>
      </c>
      <c r="O20" s="4">
        <f t="shared" si="1"/>
        <v>72.440944881889763</v>
      </c>
      <c r="P20">
        <f t="shared" si="2"/>
        <v>6</v>
      </c>
      <c r="Q20">
        <f t="shared" si="3"/>
        <v>0.4</v>
      </c>
      <c r="R20" t="str">
        <f t="shared" si="4"/>
        <v>6' 0.4"</v>
      </c>
      <c r="S20">
        <f t="shared" si="5"/>
        <v>373</v>
      </c>
      <c r="T20">
        <f t="shared" si="6"/>
        <v>24</v>
      </c>
      <c r="U20">
        <f t="shared" si="6"/>
        <v>16</v>
      </c>
      <c r="V20">
        <f t="shared" si="6"/>
        <v>11</v>
      </c>
      <c r="W20" s="33">
        <v>-1</v>
      </c>
      <c r="X20" s="33">
        <v>1</v>
      </c>
      <c r="AA20">
        <v>9</v>
      </c>
      <c r="AB20">
        <f t="shared" si="7"/>
        <v>0</v>
      </c>
    </row>
    <row r="21" spans="1:28">
      <c r="A21" s="1" t="s">
        <v>242</v>
      </c>
      <c r="H21" t="s">
        <v>150</v>
      </c>
      <c r="I21" t="s">
        <v>140</v>
      </c>
      <c r="J21" s="1">
        <f>_xlfn.XLOOKUP(I21,'rank lookup'!$A$1:$A$21,'rank lookup'!$B$1:$B$21,,0)</f>
        <v>9</v>
      </c>
      <c r="K21" s="31" t="s">
        <v>272</v>
      </c>
      <c r="L21" s="32">
        <v>178</v>
      </c>
      <c r="M21" s="32">
        <v>156</v>
      </c>
      <c r="N21" s="5">
        <f t="shared" si="0"/>
        <v>49.236207549551828</v>
      </c>
      <c r="O21" s="4">
        <f t="shared" si="1"/>
        <v>70.078740157480311</v>
      </c>
      <c r="P21">
        <f t="shared" si="2"/>
        <v>5</v>
      </c>
      <c r="Q21">
        <f t="shared" si="3"/>
        <v>10.1</v>
      </c>
      <c r="R21" t="str">
        <f t="shared" si="4"/>
        <v>5' 10.1"</v>
      </c>
      <c r="S21">
        <f t="shared" si="5"/>
        <v>344</v>
      </c>
      <c r="T21">
        <f t="shared" si="6"/>
        <v>35</v>
      </c>
      <c r="U21">
        <f t="shared" si="6"/>
        <v>27</v>
      </c>
      <c r="V21">
        <f t="shared" si="6"/>
        <v>14</v>
      </c>
      <c r="W21" s="33">
        <v>2</v>
      </c>
      <c r="X21" s="33">
        <v>1</v>
      </c>
      <c r="AA21">
        <v>10</v>
      </c>
      <c r="AB21">
        <f t="shared" si="7"/>
        <v>0</v>
      </c>
    </row>
    <row r="22" spans="1:28">
      <c r="A22" s="1" t="s">
        <v>243</v>
      </c>
      <c r="H22" t="s">
        <v>151</v>
      </c>
      <c r="I22" t="s">
        <v>140</v>
      </c>
      <c r="J22" s="1">
        <f>_xlfn.XLOOKUP(I22,'rank lookup'!$A$1:$A$21,'rank lookup'!$B$1:$B$21,,0)</f>
        <v>9</v>
      </c>
      <c r="K22" s="31" t="s">
        <v>278</v>
      </c>
      <c r="L22" s="32">
        <v>193</v>
      </c>
      <c r="M22" s="32">
        <v>185</v>
      </c>
      <c r="N22" s="5">
        <f t="shared" si="0"/>
        <v>49.665762839270855</v>
      </c>
      <c r="O22" s="4">
        <f t="shared" si="1"/>
        <v>75.984251968503941</v>
      </c>
      <c r="P22">
        <f t="shared" si="2"/>
        <v>6</v>
      </c>
      <c r="Q22">
        <f t="shared" si="3"/>
        <v>4</v>
      </c>
      <c r="R22" t="str">
        <f t="shared" si="4"/>
        <v>6' 4"</v>
      </c>
      <c r="S22">
        <f t="shared" si="5"/>
        <v>408</v>
      </c>
      <c r="T22">
        <f t="shared" si="6"/>
        <v>2</v>
      </c>
      <c r="U22">
        <f t="shared" si="6"/>
        <v>5</v>
      </c>
      <c r="V22">
        <f t="shared" si="6"/>
        <v>13</v>
      </c>
      <c r="W22" s="33">
        <v>-1</v>
      </c>
      <c r="X22" s="33">
        <v>0</v>
      </c>
      <c r="AA22">
        <v>11</v>
      </c>
      <c r="AB22">
        <f t="shared" si="7"/>
        <v>0</v>
      </c>
    </row>
    <row r="23" spans="1:28">
      <c r="A23" s="1" t="s">
        <v>120</v>
      </c>
      <c r="B23" s="1"/>
      <c r="C23" s="1" t="s">
        <v>135</v>
      </c>
      <c r="D23" s="1" t="s">
        <v>147</v>
      </c>
      <c r="E23" s="1" t="s">
        <v>142</v>
      </c>
      <c r="F23" s="1" t="s">
        <v>139</v>
      </c>
      <c r="G23" s="1" t="s">
        <v>143</v>
      </c>
      <c r="H23" s="1" t="s">
        <v>140</v>
      </c>
      <c r="I23" s="1" t="s">
        <v>141</v>
      </c>
      <c r="J23" s="1">
        <f>_xlfn.XLOOKUP(I23,'rank lookup'!$A$1:$A$21,'rank lookup'!$B$1:$B$21,,0)</f>
        <v>10</v>
      </c>
      <c r="K23" s="31" t="s">
        <v>273</v>
      </c>
      <c r="L23" s="32">
        <v>177</v>
      </c>
      <c r="M23" s="32">
        <v>170</v>
      </c>
      <c r="N23" s="5">
        <f t="shared" si="0"/>
        <v>54.262823581984748</v>
      </c>
      <c r="O23" s="4">
        <f t="shared" si="1"/>
        <v>69.685039370078741</v>
      </c>
      <c r="P23">
        <f t="shared" si="2"/>
        <v>5</v>
      </c>
      <c r="Q23">
        <f t="shared" si="3"/>
        <v>9.6999999999999993</v>
      </c>
      <c r="R23" t="str">
        <f t="shared" si="4"/>
        <v>5' 9.7"</v>
      </c>
      <c r="S23">
        <f t="shared" si="5"/>
        <v>375</v>
      </c>
      <c r="T23">
        <f t="shared" si="6"/>
        <v>37</v>
      </c>
      <c r="U23">
        <f t="shared" si="6"/>
        <v>13</v>
      </c>
      <c r="V23">
        <f t="shared" si="6"/>
        <v>3</v>
      </c>
      <c r="W23" s="33">
        <v>5</v>
      </c>
      <c r="X23" s="33">
        <v>0</v>
      </c>
      <c r="AA23">
        <v>12</v>
      </c>
      <c r="AB23">
        <f t="shared" si="7"/>
        <v>0</v>
      </c>
    </row>
    <row r="24" spans="1:28">
      <c r="A24" t="s">
        <v>149</v>
      </c>
      <c r="C24" s="1" t="s">
        <v>148</v>
      </c>
      <c r="D24" s="1" t="s">
        <v>141</v>
      </c>
      <c r="E24" s="1" t="s">
        <v>140</v>
      </c>
      <c r="F24" s="1" t="s">
        <v>136</v>
      </c>
      <c r="G24" s="1" t="s">
        <v>145</v>
      </c>
      <c r="H24" s="1" t="s">
        <v>152</v>
      </c>
      <c r="I24" s="1" t="s">
        <v>141</v>
      </c>
      <c r="J24" s="1">
        <f>_xlfn.XLOOKUP(I24,'rank lookup'!$A$1:$A$21,'rank lookup'!$B$1:$B$21,,0)</f>
        <v>10</v>
      </c>
      <c r="K24" s="31" t="s">
        <v>271</v>
      </c>
      <c r="L24" s="33">
        <v>189</v>
      </c>
      <c r="M24" s="32">
        <v>155</v>
      </c>
      <c r="N24" s="5">
        <f t="shared" si="0"/>
        <v>43.391842333641279</v>
      </c>
      <c r="O24" s="4">
        <f t="shared" si="1"/>
        <v>74.409448818897644</v>
      </c>
      <c r="P24">
        <f t="shared" si="2"/>
        <v>6</v>
      </c>
      <c r="Q24">
        <f t="shared" si="3"/>
        <v>2.4</v>
      </c>
      <c r="R24" t="str">
        <f t="shared" si="4"/>
        <v>6' 2.4"</v>
      </c>
      <c r="S24">
        <f t="shared" si="5"/>
        <v>342</v>
      </c>
      <c r="T24">
        <f t="shared" si="6"/>
        <v>9</v>
      </c>
      <c r="U24">
        <f t="shared" si="6"/>
        <v>28</v>
      </c>
      <c r="V24">
        <f t="shared" si="6"/>
        <v>35</v>
      </c>
      <c r="W24" s="33">
        <v>0</v>
      </c>
      <c r="X24" s="33">
        <v>1</v>
      </c>
    </row>
    <row r="25" spans="1:28">
      <c r="A25" s="1" t="s">
        <v>88</v>
      </c>
      <c r="B25" s="1"/>
      <c r="C25" s="1" t="s">
        <v>150</v>
      </c>
      <c r="D25" s="1" t="s">
        <v>150</v>
      </c>
      <c r="E25" s="1" t="s">
        <v>142</v>
      </c>
      <c r="F25" s="1" t="s">
        <v>152</v>
      </c>
      <c r="G25" s="1" t="s">
        <v>154</v>
      </c>
      <c r="H25" s="1" t="s">
        <v>141</v>
      </c>
      <c r="I25" s="1" t="s">
        <v>135</v>
      </c>
      <c r="J25" s="1">
        <f>_xlfn.XLOOKUP(I25,'rank lookup'!$A$1:$A$21,'rank lookup'!$B$1:$B$21,,0)</f>
        <v>11</v>
      </c>
      <c r="K25" s="31" t="s">
        <v>282</v>
      </c>
      <c r="L25" s="32">
        <v>191</v>
      </c>
      <c r="M25" s="32">
        <v>174</v>
      </c>
      <c r="N25" s="5">
        <f t="shared" si="0"/>
        <v>47.696060963241138</v>
      </c>
      <c r="O25" s="4">
        <f t="shared" si="1"/>
        <v>75.196850393700785</v>
      </c>
      <c r="P25">
        <f t="shared" si="2"/>
        <v>6</v>
      </c>
      <c r="Q25">
        <f t="shared" si="3"/>
        <v>3.2</v>
      </c>
      <c r="R25" t="str">
        <f t="shared" si="4"/>
        <v>6' 3.2"</v>
      </c>
      <c r="S25">
        <f t="shared" si="5"/>
        <v>384</v>
      </c>
      <c r="T25">
        <f t="shared" si="6"/>
        <v>6</v>
      </c>
      <c r="U25">
        <f t="shared" si="6"/>
        <v>11</v>
      </c>
      <c r="V25">
        <f t="shared" si="6"/>
        <v>21</v>
      </c>
      <c r="W25" s="33">
        <v>-5</v>
      </c>
      <c r="X25" s="33">
        <v>1</v>
      </c>
    </row>
    <row r="26" spans="1:28">
      <c r="A26" s="1" t="s">
        <v>96</v>
      </c>
      <c r="B26" s="1"/>
      <c r="C26" s="1" t="s">
        <v>139</v>
      </c>
      <c r="D26" s="1" t="s">
        <v>132</v>
      </c>
      <c r="E26" s="1" t="s">
        <v>31</v>
      </c>
      <c r="F26" s="1" t="s">
        <v>135</v>
      </c>
      <c r="G26" s="1" t="s">
        <v>136</v>
      </c>
      <c r="H26" s="1" t="s">
        <v>135</v>
      </c>
      <c r="I26" s="1" t="s">
        <v>135</v>
      </c>
      <c r="J26" s="1">
        <f>_xlfn.XLOOKUP(I26,'rank lookup'!$A$1:$A$21,'rank lookup'!$B$1:$B$21,,0)</f>
        <v>11</v>
      </c>
      <c r="K26" s="31" t="s">
        <v>262</v>
      </c>
      <c r="L26" s="32">
        <v>188</v>
      </c>
      <c r="M26" s="32">
        <v>186</v>
      </c>
      <c r="N26" s="5">
        <f t="shared" si="0"/>
        <v>52.625622453598915</v>
      </c>
      <c r="O26" s="4">
        <f t="shared" si="1"/>
        <v>74.015748031496059</v>
      </c>
      <c r="P26">
        <f t="shared" si="2"/>
        <v>6</v>
      </c>
      <c r="Q26">
        <f t="shared" si="3"/>
        <v>2</v>
      </c>
      <c r="R26" t="str">
        <f t="shared" si="4"/>
        <v>6' 2"</v>
      </c>
      <c r="S26">
        <f t="shared" si="5"/>
        <v>410</v>
      </c>
      <c r="T26">
        <f t="shared" si="6"/>
        <v>12</v>
      </c>
      <c r="U26">
        <f t="shared" si="6"/>
        <v>3</v>
      </c>
      <c r="V26">
        <f t="shared" si="6"/>
        <v>6</v>
      </c>
      <c r="W26" s="33">
        <v>3</v>
      </c>
      <c r="X26" s="33">
        <v>0</v>
      </c>
    </row>
    <row r="27" spans="1:28">
      <c r="A27" t="s">
        <v>155</v>
      </c>
      <c r="C27" s="1" t="s">
        <v>154</v>
      </c>
      <c r="D27" s="1" t="s">
        <v>154</v>
      </c>
      <c r="E27" s="1" t="s">
        <v>145</v>
      </c>
      <c r="F27" s="1" t="s">
        <v>143</v>
      </c>
      <c r="G27" s="1" t="s">
        <v>143</v>
      </c>
      <c r="H27" s="1" t="s">
        <v>140</v>
      </c>
      <c r="I27" s="1" t="s">
        <v>142</v>
      </c>
      <c r="J27" s="1">
        <f>_xlfn.XLOOKUP(I27,'rank lookup'!$A$1:$A$21,'rank lookup'!$B$1:$B$21,,0)</f>
        <v>12</v>
      </c>
      <c r="K27" s="31" t="s">
        <v>283</v>
      </c>
      <c r="L27" s="32">
        <v>178</v>
      </c>
      <c r="M27" s="32">
        <v>136</v>
      </c>
      <c r="N27" s="5">
        <f t="shared" si="0"/>
        <v>42.923873248327233</v>
      </c>
      <c r="O27" s="4">
        <f t="shared" si="1"/>
        <v>70.078740157480311</v>
      </c>
      <c r="P27">
        <f t="shared" si="2"/>
        <v>5</v>
      </c>
      <c r="Q27">
        <f t="shared" si="3"/>
        <v>10.1</v>
      </c>
      <c r="R27" t="str">
        <f t="shared" si="4"/>
        <v>5' 10.1"</v>
      </c>
      <c r="S27">
        <f t="shared" si="5"/>
        <v>300</v>
      </c>
      <c r="T27">
        <f t="shared" si="6"/>
        <v>35</v>
      </c>
      <c r="U27">
        <f t="shared" si="6"/>
        <v>39</v>
      </c>
      <c r="V27">
        <f t="shared" si="6"/>
        <v>36</v>
      </c>
      <c r="W27" s="33">
        <v>1</v>
      </c>
      <c r="X27" s="33">
        <v>1</v>
      </c>
    </row>
    <row r="28" spans="1:28">
      <c r="A28" s="1" t="s">
        <v>122</v>
      </c>
      <c r="B28" s="1"/>
      <c r="C28" s="1" t="s">
        <v>143</v>
      </c>
      <c r="D28" s="1" t="s">
        <v>148</v>
      </c>
      <c r="E28" s="1" t="s">
        <v>150</v>
      </c>
      <c r="F28" s="1" t="s">
        <v>150</v>
      </c>
      <c r="G28" s="1" t="s">
        <v>148</v>
      </c>
      <c r="H28" s="1" t="s">
        <v>147</v>
      </c>
      <c r="I28" s="1" t="s">
        <v>142</v>
      </c>
      <c r="J28" s="1">
        <f>_xlfn.XLOOKUP(I28,'rank lookup'!$A$1:$A$21,'rank lookup'!$B$1:$B$21,,0)</f>
        <v>12</v>
      </c>
      <c r="K28" s="31" t="s">
        <v>274</v>
      </c>
      <c r="L28" s="32">
        <v>176</v>
      </c>
      <c r="M28" s="32">
        <v>127</v>
      </c>
      <c r="N28" s="5">
        <f t="shared" si="0"/>
        <v>40.999483471074385</v>
      </c>
      <c r="O28" s="4">
        <f t="shared" si="1"/>
        <v>69.29133858267717</v>
      </c>
      <c r="P28">
        <f t="shared" si="2"/>
        <v>5</v>
      </c>
      <c r="Q28">
        <f t="shared" si="3"/>
        <v>9.3000000000000007</v>
      </c>
      <c r="R28" t="str">
        <f t="shared" si="4"/>
        <v>5' 9.3"</v>
      </c>
      <c r="S28">
        <f t="shared" si="5"/>
        <v>280</v>
      </c>
      <c r="T28">
        <f t="shared" si="6"/>
        <v>38</v>
      </c>
      <c r="U28">
        <f t="shared" si="6"/>
        <v>41</v>
      </c>
      <c r="V28">
        <f t="shared" si="6"/>
        <v>40</v>
      </c>
      <c r="W28" s="33">
        <v>-6</v>
      </c>
      <c r="X28" s="33">
        <v>0</v>
      </c>
    </row>
    <row r="29" spans="1:28" ht="25">
      <c r="A29" s="1" t="s">
        <v>133</v>
      </c>
      <c r="C29" t="s">
        <v>132</v>
      </c>
      <c r="D29" s="1" t="s">
        <v>137</v>
      </c>
      <c r="E29" s="1" t="s">
        <v>137</v>
      </c>
      <c r="F29" s="1" t="s">
        <v>140</v>
      </c>
      <c r="G29" s="1" t="s">
        <v>132</v>
      </c>
      <c r="H29" s="1" t="s">
        <v>137</v>
      </c>
      <c r="I29" s="1" t="s">
        <v>143</v>
      </c>
      <c r="J29" s="1">
        <f>_xlfn.XLOOKUP(I29,'rank lookup'!$A$1:$A$21,'rank lookup'!$B$1:$B$21,,0)</f>
        <v>13</v>
      </c>
      <c r="K29" s="31" t="s">
        <v>275</v>
      </c>
      <c r="L29" s="32">
        <v>174</v>
      </c>
      <c r="M29" s="32">
        <v>115</v>
      </c>
      <c r="N29" s="5">
        <f t="shared" si="0"/>
        <v>37.983881622407189</v>
      </c>
      <c r="O29" s="4">
        <f t="shared" si="1"/>
        <v>68.503937007874015</v>
      </c>
      <c r="P29">
        <f t="shared" si="2"/>
        <v>5</v>
      </c>
      <c r="Q29">
        <f t="shared" si="3"/>
        <v>8.5</v>
      </c>
      <c r="R29" t="str">
        <f t="shared" si="4"/>
        <v>5' 8.5"</v>
      </c>
      <c r="S29">
        <f t="shared" si="5"/>
        <v>254</v>
      </c>
      <c r="T29">
        <f t="shared" si="6"/>
        <v>41</v>
      </c>
      <c r="U29">
        <f t="shared" si="6"/>
        <v>42</v>
      </c>
      <c r="V29">
        <f t="shared" si="6"/>
        <v>42</v>
      </c>
      <c r="W29" s="33">
        <v>-1</v>
      </c>
      <c r="X29" s="33">
        <v>3</v>
      </c>
    </row>
    <row r="30" spans="1:28">
      <c r="A30" s="1" t="s">
        <v>244</v>
      </c>
      <c r="H30" t="s">
        <v>186</v>
      </c>
      <c r="I30" t="s">
        <v>143</v>
      </c>
      <c r="J30" s="1">
        <f>_xlfn.XLOOKUP(I30,'rank lookup'!$A$1:$A$21,'rank lookup'!$B$1:$B$21,,0)</f>
        <v>13</v>
      </c>
      <c r="K30" s="31" t="s">
        <v>284</v>
      </c>
      <c r="L30" s="32">
        <v>181</v>
      </c>
      <c r="M30" s="32">
        <v>158</v>
      </c>
      <c r="N30" s="5">
        <f t="shared" si="0"/>
        <v>48.22807606605415</v>
      </c>
      <c r="O30" s="4">
        <f t="shared" si="1"/>
        <v>71.259842519685037</v>
      </c>
      <c r="P30">
        <f t="shared" si="2"/>
        <v>5</v>
      </c>
      <c r="Q30">
        <f t="shared" si="3"/>
        <v>11.3</v>
      </c>
      <c r="R30" t="str">
        <f t="shared" si="4"/>
        <v>5' 11.3"</v>
      </c>
      <c r="S30">
        <f t="shared" si="5"/>
        <v>348</v>
      </c>
      <c r="T30">
        <f t="shared" si="6"/>
        <v>32</v>
      </c>
      <c r="U30">
        <f t="shared" si="6"/>
        <v>26</v>
      </c>
      <c r="V30">
        <f t="shared" si="6"/>
        <v>18</v>
      </c>
      <c r="W30" s="33">
        <v>-4</v>
      </c>
      <c r="X30" s="33">
        <v>0</v>
      </c>
    </row>
    <row r="31" spans="1:28">
      <c r="A31" s="1" t="s">
        <v>189</v>
      </c>
      <c r="F31" t="s">
        <v>151</v>
      </c>
      <c r="G31" t="s">
        <v>140</v>
      </c>
      <c r="H31" s="1" t="s">
        <v>145</v>
      </c>
      <c r="I31" s="1" t="s">
        <v>145</v>
      </c>
      <c r="J31" s="1">
        <f>_xlfn.XLOOKUP(I31,'rank lookup'!$A$1:$A$21,'rank lookup'!$B$1:$B$21,,0)</f>
        <v>14</v>
      </c>
      <c r="K31" s="31" t="s">
        <v>276</v>
      </c>
      <c r="L31" s="32">
        <v>193</v>
      </c>
      <c r="M31" s="32">
        <v>180</v>
      </c>
      <c r="N31" s="5">
        <f t="shared" si="0"/>
        <v>48.32344492469597</v>
      </c>
      <c r="O31" s="4">
        <f t="shared" si="1"/>
        <v>75.984251968503941</v>
      </c>
      <c r="P31">
        <f t="shared" si="2"/>
        <v>6</v>
      </c>
      <c r="Q31">
        <f t="shared" si="3"/>
        <v>4</v>
      </c>
      <c r="R31" t="str">
        <f t="shared" si="4"/>
        <v>6' 4"</v>
      </c>
      <c r="S31">
        <f t="shared" si="5"/>
        <v>397</v>
      </c>
      <c r="T31">
        <f t="shared" si="6"/>
        <v>2</v>
      </c>
      <c r="U31">
        <f t="shared" si="6"/>
        <v>9</v>
      </c>
      <c r="V31">
        <f t="shared" si="6"/>
        <v>17</v>
      </c>
      <c r="W31" s="33">
        <v>-1</v>
      </c>
      <c r="X31" s="33">
        <v>1</v>
      </c>
    </row>
    <row r="32" spans="1:28">
      <c r="A32" s="1" t="s">
        <v>99</v>
      </c>
      <c r="B32" s="1"/>
      <c r="C32" s="1" t="s">
        <v>141</v>
      </c>
      <c r="D32" s="1" t="s">
        <v>135</v>
      </c>
      <c r="E32" s="1" t="s">
        <v>143</v>
      </c>
      <c r="F32" s="1" t="s">
        <v>141</v>
      </c>
      <c r="G32" s="1" t="s">
        <v>136</v>
      </c>
      <c r="H32" s="1" t="s">
        <v>154</v>
      </c>
      <c r="I32" s="1" t="s">
        <v>145</v>
      </c>
      <c r="J32" s="1">
        <f>_xlfn.XLOOKUP(I32,'rank lookup'!$A$1:$A$21,'rank lookup'!$B$1:$B$21,,0)</f>
        <v>14</v>
      </c>
      <c r="K32" s="31" t="s">
        <v>277</v>
      </c>
      <c r="L32" s="32">
        <v>184</v>
      </c>
      <c r="M32" s="32">
        <v>148</v>
      </c>
      <c r="N32" s="5">
        <f t="shared" si="0"/>
        <v>43.714555765595463</v>
      </c>
      <c r="O32" s="4">
        <f t="shared" si="1"/>
        <v>72.440944881889763</v>
      </c>
      <c r="P32">
        <f t="shared" si="2"/>
        <v>6</v>
      </c>
      <c r="Q32">
        <f t="shared" si="3"/>
        <v>0.4</v>
      </c>
      <c r="R32" t="str">
        <f t="shared" si="4"/>
        <v>6' 0.4"</v>
      </c>
      <c r="S32">
        <f t="shared" si="5"/>
        <v>326</v>
      </c>
      <c r="T32">
        <f t="shared" si="6"/>
        <v>24</v>
      </c>
      <c r="U32">
        <f t="shared" si="6"/>
        <v>32</v>
      </c>
      <c r="V32">
        <f t="shared" si="6"/>
        <v>31</v>
      </c>
      <c r="W32" s="33">
        <v>-2</v>
      </c>
      <c r="X32" s="33">
        <v>0</v>
      </c>
    </row>
    <row r="33" spans="1:24">
      <c r="A33" s="1" t="s">
        <v>116</v>
      </c>
      <c r="B33" s="1">
        <v>2</v>
      </c>
      <c r="C33" s="1" t="s">
        <v>39</v>
      </c>
      <c r="D33" s="1" t="s">
        <v>31</v>
      </c>
      <c r="E33" s="1" t="s">
        <v>136</v>
      </c>
      <c r="F33" s="1" t="s">
        <v>137</v>
      </c>
      <c r="G33" s="1" t="s">
        <v>141</v>
      </c>
      <c r="H33" s="1" t="s">
        <v>136</v>
      </c>
      <c r="I33" s="1" t="s">
        <v>147</v>
      </c>
      <c r="J33" s="1">
        <f>_xlfn.XLOOKUP(I33,'rank lookup'!$A$1:$A$21,'rank lookup'!$B$1:$B$21,,0)</f>
        <v>15</v>
      </c>
      <c r="K33" s="31" t="s">
        <v>274</v>
      </c>
      <c r="L33" s="32">
        <v>179</v>
      </c>
      <c r="M33" s="32">
        <v>164</v>
      </c>
      <c r="N33" s="5">
        <f t="shared" si="0"/>
        <v>51.18441996192378</v>
      </c>
      <c r="O33" s="4">
        <f t="shared" si="1"/>
        <v>70.472440944881896</v>
      </c>
      <c r="P33">
        <f t="shared" si="2"/>
        <v>5</v>
      </c>
      <c r="Q33">
        <f t="shared" si="3"/>
        <v>10.5</v>
      </c>
      <c r="R33" t="str">
        <f t="shared" si="4"/>
        <v>5' 10.5"</v>
      </c>
      <c r="S33">
        <f t="shared" si="5"/>
        <v>362</v>
      </c>
      <c r="T33">
        <f t="shared" si="6"/>
        <v>34</v>
      </c>
      <c r="U33">
        <f t="shared" si="6"/>
        <v>20</v>
      </c>
      <c r="V33">
        <f t="shared" si="6"/>
        <v>8</v>
      </c>
      <c r="W33" s="33">
        <v>-6</v>
      </c>
      <c r="X33" s="33">
        <v>0</v>
      </c>
    </row>
    <row r="34" spans="1:24">
      <c r="A34" s="1" t="s">
        <v>191</v>
      </c>
      <c r="F34" t="s">
        <v>152</v>
      </c>
      <c r="G34" t="s">
        <v>147</v>
      </c>
      <c r="H34" t="s">
        <v>141</v>
      </c>
      <c r="I34" s="1" t="s">
        <v>147</v>
      </c>
      <c r="J34" s="1">
        <f>_xlfn.XLOOKUP(I34,'rank lookup'!$A$1:$A$21,'rank lookup'!$B$1:$B$21,,0)</f>
        <v>15</v>
      </c>
      <c r="K34" s="31" t="s">
        <v>284</v>
      </c>
      <c r="L34" s="32">
        <v>204</v>
      </c>
      <c r="M34" s="32">
        <v>181</v>
      </c>
      <c r="N34" s="5">
        <f t="shared" si="0"/>
        <v>43.492887351018837</v>
      </c>
      <c r="O34" s="4">
        <f t="shared" si="1"/>
        <v>80.314960629921259</v>
      </c>
      <c r="P34">
        <f t="shared" si="2"/>
        <v>6</v>
      </c>
      <c r="Q34">
        <f t="shared" si="3"/>
        <v>8.3000000000000007</v>
      </c>
      <c r="R34" t="str">
        <f t="shared" si="4"/>
        <v>6' 8.3"</v>
      </c>
      <c r="S34">
        <f t="shared" si="5"/>
        <v>399</v>
      </c>
      <c r="T34">
        <f t="shared" si="6"/>
        <v>1</v>
      </c>
      <c r="U34">
        <f t="shared" si="6"/>
        <v>7</v>
      </c>
      <c r="V34">
        <f t="shared" si="6"/>
        <v>32</v>
      </c>
      <c r="W34" s="33">
        <v>-4</v>
      </c>
      <c r="X34" s="33">
        <v>0</v>
      </c>
    </row>
    <row r="35" spans="1:24">
      <c r="A35" s="1" t="s">
        <v>111</v>
      </c>
      <c r="B35" s="1"/>
      <c r="C35" s="1" t="s">
        <v>140</v>
      </c>
      <c r="D35" s="1" t="s">
        <v>139</v>
      </c>
      <c r="E35" s="1" t="s">
        <v>139</v>
      </c>
      <c r="F35" s="1" t="s">
        <v>141</v>
      </c>
      <c r="G35" s="1" t="s">
        <v>142</v>
      </c>
      <c r="H35" s="1" t="s">
        <v>142</v>
      </c>
      <c r="I35" s="1" t="s">
        <v>148</v>
      </c>
      <c r="J35" s="1">
        <f>_xlfn.XLOOKUP(I35,'rank lookup'!$A$1:$A$21,'rank lookup'!$B$1:$B$21,,0)</f>
        <v>16</v>
      </c>
      <c r="K35" s="31" t="s">
        <v>281</v>
      </c>
      <c r="L35" s="32">
        <v>182</v>
      </c>
      <c r="M35" s="32">
        <v>144</v>
      </c>
      <c r="N35" s="5">
        <f t="shared" si="0"/>
        <v>43.473010505977541</v>
      </c>
      <c r="O35" s="4">
        <f t="shared" si="1"/>
        <v>71.653543307086608</v>
      </c>
      <c r="P35">
        <f t="shared" si="2"/>
        <v>5</v>
      </c>
      <c r="Q35">
        <f t="shared" si="3"/>
        <v>11.7</v>
      </c>
      <c r="R35" t="str">
        <f t="shared" si="4"/>
        <v>5' 11.7"</v>
      </c>
      <c r="S35">
        <f t="shared" si="5"/>
        <v>317</v>
      </c>
      <c r="T35">
        <f t="shared" si="6"/>
        <v>30</v>
      </c>
      <c r="U35">
        <f t="shared" si="6"/>
        <v>35</v>
      </c>
      <c r="V35">
        <f t="shared" si="6"/>
        <v>33</v>
      </c>
      <c r="W35" s="33">
        <v>2</v>
      </c>
      <c r="X35" s="33">
        <v>0</v>
      </c>
    </row>
    <row r="36" spans="1:24">
      <c r="A36" s="1" t="s">
        <v>104</v>
      </c>
      <c r="B36" s="1"/>
      <c r="C36" s="1" t="s">
        <v>140</v>
      </c>
      <c r="D36" s="1" t="s">
        <v>142</v>
      </c>
      <c r="E36" s="1" t="s">
        <v>154</v>
      </c>
      <c r="F36" s="1" t="s">
        <v>148</v>
      </c>
      <c r="G36" s="1" t="s">
        <v>145</v>
      </c>
      <c r="H36" s="1" t="s">
        <v>152</v>
      </c>
      <c r="I36" s="1" t="s">
        <v>148</v>
      </c>
      <c r="J36" s="1">
        <f>_xlfn.XLOOKUP(I36,'rank lookup'!$A$1:$A$21,'rank lookup'!$B$1:$B$21,,0)</f>
        <v>16</v>
      </c>
      <c r="K36" s="31" t="s">
        <v>277</v>
      </c>
      <c r="L36" s="32">
        <v>186</v>
      </c>
      <c r="M36" s="32">
        <v>169</v>
      </c>
      <c r="N36" s="5">
        <f t="shared" ref="N36:N57" si="9">M36/(L36*L36)*10000</f>
        <v>48.849577985894321</v>
      </c>
      <c r="O36" s="4">
        <f t="shared" ref="O36:O57" si="10">CONVERT(L36,"cm","in")</f>
        <v>73.228346456692918</v>
      </c>
      <c r="P36">
        <f t="shared" ref="P36:P57" si="11">_xlfn.FLOOR.MATH(O36/12)</f>
        <v>6</v>
      </c>
      <c r="Q36">
        <f t="shared" ref="Q36:Q57" si="12">ROUND(O36-P36*12,1)</f>
        <v>1.2</v>
      </c>
      <c r="R36" t="str">
        <f t="shared" ref="R36:R57" si="13">P36&amp;"' "&amp;Q36&amp;""""</f>
        <v>6' 1.2"</v>
      </c>
      <c r="S36">
        <f t="shared" ref="S36:S57" si="14">ROUND(CONVERT(M36,"kg","lbm"),0)</f>
        <v>373</v>
      </c>
      <c r="T36">
        <f t="shared" si="6"/>
        <v>17</v>
      </c>
      <c r="U36">
        <f t="shared" si="6"/>
        <v>16</v>
      </c>
      <c r="V36">
        <f t="shared" si="6"/>
        <v>15</v>
      </c>
      <c r="W36" s="33">
        <v>-2</v>
      </c>
      <c r="X36" s="33">
        <v>0</v>
      </c>
    </row>
    <row r="37" spans="1:24">
      <c r="A37" t="s">
        <v>144</v>
      </c>
      <c r="C37" s="1" t="s">
        <v>145</v>
      </c>
      <c r="D37" s="1" t="s">
        <v>140</v>
      </c>
      <c r="E37" s="1" t="s">
        <v>139</v>
      </c>
      <c r="F37" s="1" t="s">
        <v>145</v>
      </c>
      <c r="G37" s="1" t="s">
        <v>137</v>
      </c>
      <c r="H37" s="1" t="s">
        <v>142</v>
      </c>
      <c r="I37" s="1" t="s">
        <v>150</v>
      </c>
      <c r="J37" s="1">
        <f>_xlfn.XLOOKUP(I37,'rank lookup'!$A$1:$A$21,'rank lookup'!$B$1:$B$21,,0)</f>
        <v>17</v>
      </c>
      <c r="K37" s="31" t="s">
        <v>273</v>
      </c>
      <c r="L37" s="32">
        <v>184</v>
      </c>
      <c r="M37" s="32">
        <v>154</v>
      </c>
      <c r="N37" s="5">
        <f t="shared" si="9"/>
        <v>45.486767485822305</v>
      </c>
      <c r="O37" s="4">
        <f t="shared" si="10"/>
        <v>72.440944881889763</v>
      </c>
      <c r="P37">
        <f t="shared" si="11"/>
        <v>6</v>
      </c>
      <c r="Q37">
        <f t="shared" si="12"/>
        <v>0.4</v>
      </c>
      <c r="R37" t="str">
        <f t="shared" si="13"/>
        <v>6' 0.4"</v>
      </c>
      <c r="S37">
        <f t="shared" si="14"/>
        <v>340</v>
      </c>
      <c r="T37">
        <f t="shared" si="6"/>
        <v>24</v>
      </c>
      <c r="U37">
        <f t="shared" si="6"/>
        <v>31</v>
      </c>
      <c r="V37">
        <f t="shared" si="6"/>
        <v>27</v>
      </c>
      <c r="W37" s="33">
        <v>5</v>
      </c>
      <c r="X37" s="33">
        <v>0</v>
      </c>
    </row>
    <row r="38" spans="1:24">
      <c r="A38" s="1" t="s">
        <v>97</v>
      </c>
      <c r="B38" s="1"/>
      <c r="C38" s="1" t="s">
        <v>143</v>
      </c>
      <c r="D38" s="1" t="s">
        <v>135</v>
      </c>
      <c r="E38" s="1" t="s">
        <v>141</v>
      </c>
      <c r="F38" s="1" t="s">
        <v>145</v>
      </c>
      <c r="G38" s="1" t="s">
        <v>151</v>
      </c>
      <c r="H38" s="1" t="s">
        <v>145</v>
      </c>
      <c r="I38" s="1" t="s">
        <v>150</v>
      </c>
      <c r="J38" s="1">
        <f>_xlfn.XLOOKUP(I38,'rank lookup'!$A$1:$A$21,'rank lookup'!$B$1:$B$21,,0)</f>
        <v>17</v>
      </c>
      <c r="K38" s="31" t="s">
        <v>278</v>
      </c>
      <c r="L38" s="32">
        <v>188</v>
      </c>
      <c r="M38" s="32">
        <v>155</v>
      </c>
      <c r="N38" s="5">
        <f t="shared" si="9"/>
        <v>43.854685377999097</v>
      </c>
      <c r="O38" s="4">
        <f t="shared" si="10"/>
        <v>74.015748031496059</v>
      </c>
      <c r="P38">
        <f t="shared" si="11"/>
        <v>6</v>
      </c>
      <c r="Q38">
        <f t="shared" si="12"/>
        <v>2</v>
      </c>
      <c r="R38" t="str">
        <f t="shared" si="13"/>
        <v>6' 2"</v>
      </c>
      <c r="S38">
        <f t="shared" si="14"/>
        <v>342</v>
      </c>
      <c r="T38">
        <f t="shared" si="6"/>
        <v>12</v>
      </c>
      <c r="U38">
        <f t="shared" si="6"/>
        <v>28</v>
      </c>
      <c r="V38">
        <f t="shared" si="6"/>
        <v>30</v>
      </c>
      <c r="W38" s="33">
        <v>-1</v>
      </c>
      <c r="X38" s="33">
        <v>0</v>
      </c>
    </row>
    <row r="39" spans="1:24">
      <c r="A39" t="s">
        <v>146</v>
      </c>
      <c r="C39" s="1" t="s">
        <v>147</v>
      </c>
      <c r="D39" s="1" t="s">
        <v>147</v>
      </c>
      <c r="E39" s="1" t="s">
        <v>150</v>
      </c>
      <c r="F39" s="1" t="s">
        <v>140</v>
      </c>
      <c r="G39" s="1" t="s">
        <v>140</v>
      </c>
      <c r="H39" s="1" t="s">
        <v>150</v>
      </c>
      <c r="I39" s="1" t="s">
        <v>151</v>
      </c>
      <c r="J39" s="1">
        <f>_xlfn.XLOOKUP(I39,'rank lookup'!$A$1:$A$21,'rank lookup'!$B$1:$B$21,,0)</f>
        <v>18</v>
      </c>
      <c r="K39" s="31" t="s">
        <v>285</v>
      </c>
      <c r="L39" s="32">
        <v>190</v>
      </c>
      <c r="M39" s="32">
        <v>164</v>
      </c>
      <c r="N39" s="5">
        <f t="shared" si="9"/>
        <v>45.429362880886423</v>
      </c>
      <c r="O39" s="4">
        <f t="shared" si="10"/>
        <v>74.803149606299215</v>
      </c>
      <c r="P39">
        <f t="shared" si="11"/>
        <v>6</v>
      </c>
      <c r="Q39">
        <f t="shared" si="12"/>
        <v>2.8</v>
      </c>
      <c r="R39" t="str">
        <f t="shared" si="13"/>
        <v>6' 2.8"</v>
      </c>
      <c r="S39">
        <f t="shared" si="14"/>
        <v>362</v>
      </c>
      <c r="T39">
        <f t="shared" si="6"/>
        <v>8</v>
      </c>
      <c r="U39">
        <f t="shared" si="6"/>
        <v>20</v>
      </c>
      <c r="V39">
        <f t="shared" si="6"/>
        <v>28</v>
      </c>
      <c r="W39" s="33">
        <v>3</v>
      </c>
      <c r="X39" s="33">
        <v>-1</v>
      </c>
    </row>
    <row r="40" spans="1:24">
      <c r="A40" s="1" t="s">
        <v>91</v>
      </c>
      <c r="B40" s="1"/>
      <c r="C40" s="1" t="s">
        <v>135</v>
      </c>
      <c r="D40" s="1" t="s">
        <v>145</v>
      </c>
      <c r="E40" s="1" t="s">
        <v>145</v>
      </c>
      <c r="F40" s="1" t="s">
        <v>143</v>
      </c>
      <c r="G40" s="1" t="s">
        <v>148</v>
      </c>
      <c r="H40" s="1" t="s">
        <v>186</v>
      </c>
      <c r="I40" s="1" t="s">
        <v>151</v>
      </c>
      <c r="J40" s="1">
        <f>_xlfn.XLOOKUP(I40,'rank lookup'!$A$1:$A$21,'rank lookup'!$B$1:$B$21,,0)</f>
        <v>18</v>
      </c>
      <c r="K40" s="1" t="s">
        <v>258</v>
      </c>
      <c r="L40" s="32">
        <v>191</v>
      </c>
      <c r="M40" s="32">
        <v>186</v>
      </c>
      <c r="N40" s="5">
        <f t="shared" si="9"/>
        <v>50.985444477947425</v>
      </c>
      <c r="O40" s="4">
        <f t="shared" si="10"/>
        <v>75.196850393700785</v>
      </c>
      <c r="P40">
        <f t="shared" si="11"/>
        <v>6</v>
      </c>
      <c r="Q40">
        <f t="shared" si="12"/>
        <v>3.2</v>
      </c>
      <c r="R40" t="str">
        <f t="shared" si="13"/>
        <v>6' 3.2"</v>
      </c>
      <c r="S40">
        <f t="shared" si="14"/>
        <v>410</v>
      </c>
      <c r="T40">
        <f t="shared" si="6"/>
        <v>6</v>
      </c>
      <c r="U40">
        <f t="shared" si="6"/>
        <v>3</v>
      </c>
      <c r="V40">
        <f t="shared" si="6"/>
        <v>9</v>
      </c>
      <c r="W40" s="33">
        <v>0</v>
      </c>
      <c r="X40" s="33">
        <v>0</v>
      </c>
    </row>
    <row r="41" spans="1:24">
      <c r="A41" s="1" t="s">
        <v>110</v>
      </c>
      <c r="B41" s="1"/>
      <c r="C41" s="1" t="s">
        <v>151</v>
      </c>
      <c r="D41" s="1" t="s">
        <v>145</v>
      </c>
      <c r="E41" s="1" t="s">
        <v>147</v>
      </c>
      <c r="F41" s="1" t="s">
        <v>154</v>
      </c>
      <c r="G41" s="1" t="s">
        <v>150</v>
      </c>
      <c r="H41" s="1" t="s">
        <v>148</v>
      </c>
      <c r="I41" s="1" t="s">
        <v>152</v>
      </c>
      <c r="J41" s="1">
        <f>_xlfn.XLOOKUP(I41,'rank lookup'!$A$1:$A$21,'rank lookup'!$B$1:$B$21,,0)</f>
        <v>19</v>
      </c>
      <c r="K41" s="31" t="s">
        <v>285</v>
      </c>
      <c r="L41" s="32">
        <v>183</v>
      </c>
      <c r="M41" s="32">
        <v>140</v>
      </c>
      <c r="N41" s="5">
        <f t="shared" si="9"/>
        <v>41.804771716085874</v>
      </c>
      <c r="O41" s="4">
        <f t="shared" si="10"/>
        <v>72.047244094488192</v>
      </c>
      <c r="P41">
        <f t="shared" si="11"/>
        <v>6</v>
      </c>
      <c r="Q41">
        <f t="shared" si="12"/>
        <v>0</v>
      </c>
      <c r="R41" t="str">
        <f t="shared" si="13"/>
        <v>6' 0"</v>
      </c>
      <c r="S41">
        <f t="shared" si="14"/>
        <v>309</v>
      </c>
      <c r="T41">
        <f t="shared" si="6"/>
        <v>28</v>
      </c>
      <c r="U41">
        <f t="shared" si="6"/>
        <v>37</v>
      </c>
      <c r="V41">
        <f t="shared" si="6"/>
        <v>38</v>
      </c>
      <c r="W41" s="33">
        <v>3</v>
      </c>
      <c r="X41" s="33">
        <v>-1</v>
      </c>
    </row>
    <row r="42" spans="1:24">
      <c r="A42" s="1" t="s">
        <v>168</v>
      </c>
      <c r="D42" t="s">
        <v>152</v>
      </c>
      <c r="E42" s="1" t="s">
        <v>170</v>
      </c>
      <c r="F42" s="1" t="s">
        <v>187</v>
      </c>
      <c r="G42" s="1" t="s">
        <v>187</v>
      </c>
      <c r="H42" s="1" t="s">
        <v>241</v>
      </c>
      <c r="I42" s="1" t="s">
        <v>152</v>
      </c>
      <c r="J42" s="1">
        <f>_xlfn.XLOOKUP(I42,'rank lookup'!$A$1:$A$21,'rank lookup'!$B$1:$B$21,,0)</f>
        <v>19</v>
      </c>
      <c r="K42" s="31" t="s">
        <v>279</v>
      </c>
      <c r="L42" s="32">
        <v>186</v>
      </c>
      <c r="M42" s="32">
        <v>181</v>
      </c>
      <c r="N42" s="5">
        <f t="shared" si="9"/>
        <v>52.31818707365013</v>
      </c>
      <c r="O42" s="4">
        <f t="shared" si="10"/>
        <v>73.228346456692918</v>
      </c>
      <c r="P42">
        <f t="shared" si="11"/>
        <v>6</v>
      </c>
      <c r="Q42">
        <f t="shared" si="12"/>
        <v>1.2</v>
      </c>
      <c r="R42" t="str">
        <f t="shared" si="13"/>
        <v>6' 1.2"</v>
      </c>
      <c r="S42">
        <f t="shared" si="14"/>
        <v>399</v>
      </c>
      <c r="T42">
        <f t="shared" si="6"/>
        <v>17</v>
      </c>
      <c r="U42">
        <f t="shared" si="6"/>
        <v>7</v>
      </c>
      <c r="V42">
        <f t="shared" si="6"/>
        <v>7</v>
      </c>
      <c r="W42" s="33">
        <v>5</v>
      </c>
      <c r="X42" s="33">
        <v>1</v>
      </c>
    </row>
    <row r="43" spans="1:24">
      <c r="A43" s="1" t="s">
        <v>108</v>
      </c>
      <c r="B43" s="1"/>
      <c r="C43" s="1" t="s">
        <v>152</v>
      </c>
      <c r="D43" s="1" t="s">
        <v>170</v>
      </c>
      <c r="E43" s="1" t="s">
        <v>152</v>
      </c>
      <c r="F43" s="1" t="s">
        <v>154</v>
      </c>
      <c r="G43" s="1" t="s">
        <v>152</v>
      </c>
      <c r="H43" s="1" t="s">
        <v>147</v>
      </c>
      <c r="I43" s="1" t="s">
        <v>154</v>
      </c>
      <c r="J43" s="1">
        <f>_xlfn.XLOOKUP(I43,'rank lookup'!$A$1:$A$21,'rank lookup'!$B$1:$B$21,,0)</f>
        <v>20</v>
      </c>
      <c r="K43" s="31" t="s">
        <v>286</v>
      </c>
      <c r="L43" s="32">
        <v>185</v>
      </c>
      <c r="M43" s="32">
        <v>187</v>
      </c>
      <c r="N43" s="5">
        <f t="shared" si="9"/>
        <v>54.638422205989777</v>
      </c>
      <c r="O43" s="4">
        <f t="shared" si="10"/>
        <v>72.834645669291348</v>
      </c>
      <c r="P43">
        <f t="shared" si="11"/>
        <v>6</v>
      </c>
      <c r="Q43">
        <f t="shared" si="12"/>
        <v>0.8</v>
      </c>
      <c r="R43" t="str">
        <f t="shared" si="13"/>
        <v>6' 0.8"</v>
      </c>
      <c r="S43">
        <f t="shared" si="14"/>
        <v>412</v>
      </c>
      <c r="T43">
        <f t="shared" si="6"/>
        <v>21</v>
      </c>
      <c r="U43">
        <f t="shared" si="6"/>
        <v>2</v>
      </c>
      <c r="V43">
        <f t="shared" si="6"/>
        <v>2</v>
      </c>
      <c r="W43" s="33">
        <v>-7</v>
      </c>
      <c r="X43" s="33">
        <v>0</v>
      </c>
    </row>
    <row r="44" spans="1:24">
      <c r="A44" s="1" t="s">
        <v>167</v>
      </c>
      <c r="D44" t="s">
        <v>152</v>
      </c>
      <c r="E44" t="s">
        <v>148</v>
      </c>
      <c r="F44" t="s">
        <v>148</v>
      </c>
      <c r="G44" s="1" t="s">
        <v>186</v>
      </c>
      <c r="H44" s="1" t="s">
        <v>241</v>
      </c>
      <c r="I44" s="1" t="s">
        <v>154</v>
      </c>
      <c r="J44" s="1">
        <f>_xlfn.XLOOKUP(I44,'rank lookup'!$A$1:$A$21,'rank lookup'!$B$1:$B$21,,0)</f>
        <v>20</v>
      </c>
      <c r="K44" s="31" t="s">
        <v>280</v>
      </c>
      <c r="L44" s="32">
        <v>192</v>
      </c>
      <c r="M44" s="32">
        <v>160</v>
      </c>
      <c r="N44" s="5">
        <f t="shared" si="9"/>
        <v>43.402777777777779</v>
      </c>
      <c r="O44" s="4">
        <f t="shared" si="10"/>
        <v>75.59055118110237</v>
      </c>
      <c r="P44">
        <f t="shared" si="11"/>
        <v>6</v>
      </c>
      <c r="Q44">
        <f t="shared" si="12"/>
        <v>3.6</v>
      </c>
      <c r="R44" t="str">
        <f t="shared" si="13"/>
        <v>6' 3.6"</v>
      </c>
      <c r="S44">
        <f t="shared" si="14"/>
        <v>353</v>
      </c>
      <c r="T44">
        <f t="shared" si="6"/>
        <v>4</v>
      </c>
      <c r="U44">
        <f t="shared" si="6"/>
        <v>23</v>
      </c>
      <c r="V44">
        <f t="shared" si="6"/>
        <v>34</v>
      </c>
      <c r="W44" s="33">
        <v>4</v>
      </c>
      <c r="X44" s="33">
        <v>-1</v>
      </c>
    </row>
    <row r="45" spans="1:24">
      <c r="A45" s="1" t="s">
        <v>188</v>
      </c>
      <c r="F45" t="s">
        <v>150</v>
      </c>
      <c r="G45" t="s">
        <v>147</v>
      </c>
      <c r="H45" s="1" t="s">
        <v>151</v>
      </c>
      <c r="I45" s="1" t="s">
        <v>186</v>
      </c>
      <c r="J45" s="1">
        <f>_xlfn.XLOOKUP(I45,'rank lookup'!$A$1:$A$21,'rank lookup'!$B$1:$B$21,,0)</f>
        <v>21</v>
      </c>
      <c r="K45" s="31" t="s">
        <v>281</v>
      </c>
      <c r="L45" s="32">
        <v>185</v>
      </c>
      <c r="M45" s="32">
        <v>198</v>
      </c>
      <c r="N45" s="5">
        <f t="shared" si="9"/>
        <v>57.852447041636232</v>
      </c>
      <c r="O45" s="4">
        <f t="shared" si="10"/>
        <v>72.834645669291348</v>
      </c>
      <c r="P45">
        <f t="shared" si="11"/>
        <v>6</v>
      </c>
      <c r="Q45">
        <f t="shared" si="12"/>
        <v>0.8</v>
      </c>
      <c r="R45" t="str">
        <f t="shared" si="13"/>
        <v>6' 0.8"</v>
      </c>
      <c r="S45">
        <f t="shared" si="14"/>
        <v>437</v>
      </c>
      <c r="T45">
        <f t="shared" si="6"/>
        <v>21</v>
      </c>
      <c r="U45">
        <f t="shared" si="6"/>
        <v>1</v>
      </c>
      <c r="V45">
        <f t="shared" si="6"/>
        <v>1</v>
      </c>
      <c r="W45" s="33">
        <v>2</v>
      </c>
      <c r="X45" s="33">
        <v>0</v>
      </c>
    </row>
    <row r="46" spans="1:24">
      <c r="A46" s="1" t="s">
        <v>114</v>
      </c>
      <c r="B46" s="1"/>
      <c r="C46" s="1" t="s">
        <v>31</v>
      </c>
      <c r="D46" s="1" t="s">
        <v>31</v>
      </c>
      <c r="E46" s="1" t="s">
        <v>31</v>
      </c>
      <c r="F46" s="1" t="s">
        <v>31</v>
      </c>
      <c r="G46" s="1" t="s">
        <v>42</v>
      </c>
      <c r="H46" s="1" t="s">
        <v>148</v>
      </c>
      <c r="I46" s="1"/>
      <c r="J46" s="1" t="e">
        <f>_xlfn.XLOOKUP(I46,'rank lookup'!$A$1:$A$21,'rank lookup'!$B$1:$B$21,,0)</f>
        <v>#N/A</v>
      </c>
      <c r="K46" s="1" t="s">
        <v>287</v>
      </c>
      <c r="L46" s="30">
        <v>182</v>
      </c>
      <c r="M46" s="30">
        <v>132</v>
      </c>
      <c r="N46" s="5">
        <f t="shared" si="9"/>
        <v>39.850259630479414</v>
      </c>
      <c r="O46" s="4">
        <f t="shared" si="10"/>
        <v>71.653543307086608</v>
      </c>
      <c r="P46">
        <f t="shared" si="11"/>
        <v>5</v>
      </c>
      <c r="Q46">
        <f t="shared" si="12"/>
        <v>11.7</v>
      </c>
      <c r="R46" t="str">
        <f t="shared" si="13"/>
        <v>5' 11.7"</v>
      </c>
      <c r="S46">
        <f t="shared" si="14"/>
        <v>291</v>
      </c>
    </row>
    <row r="47" spans="1:24">
      <c r="A47" s="1" t="s">
        <v>190</v>
      </c>
      <c r="F47" t="s">
        <v>151</v>
      </c>
      <c r="G47" s="1" t="s">
        <v>170</v>
      </c>
      <c r="H47" s="1" t="s">
        <v>154</v>
      </c>
      <c r="I47" s="1"/>
      <c r="J47" s="1" t="e">
        <f>_xlfn.XLOOKUP(I47,'rank lookup'!$A$1:$A$21,'rank lookup'!$B$1:$B$21,,0)</f>
        <v>#N/A</v>
      </c>
      <c r="K47" s="1" t="s">
        <v>287</v>
      </c>
      <c r="L47" s="30">
        <v>171</v>
      </c>
      <c r="M47" s="30">
        <v>171</v>
      </c>
      <c r="N47" s="5">
        <f t="shared" si="9"/>
        <v>58.479532163742689</v>
      </c>
      <c r="O47" s="4">
        <f t="shared" si="10"/>
        <v>67.322834645669289</v>
      </c>
      <c r="P47">
        <f t="shared" si="11"/>
        <v>5</v>
      </c>
      <c r="Q47">
        <f t="shared" si="12"/>
        <v>7.3</v>
      </c>
      <c r="R47" t="str">
        <f t="shared" si="13"/>
        <v>5' 7.3"</v>
      </c>
      <c r="S47">
        <f t="shared" si="14"/>
        <v>377</v>
      </c>
    </row>
    <row r="48" spans="1:24">
      <c r="A48" s="1" t="s">
        <v>89</v>
      </c>
      <c r="B48" s="1">
        <v>1</v>
      </c>
      <c r="C48" s="1" t="s">
        <v>42</v>
      </c>
      <c r="D48" s="1" t="s">
        <v>136</v>
      </c>
      <c r="E48" s="1" t="s">
        <v>135</v>
      </c>
      <c r="F48" s="1" t="s">
        <v>170</v>
      </c>
      <c r="G48" s="1" t="s">
        <v>150</v>
      </c>
      <c r="H48" s="1" t="s">
        <v>179</v>
      </c>
      <c r="I48" s="1"/>
      <c r="J48" s="1" t="e">
        <f>_xlfn.XLOOKUP(I48,'rank lookup'!$A$1:$A$21,'rank lookup'!$B$1:$B$21,,0)</f>
        <v>#N/A</v>
      </c>
      <c r="K48" s="1" t="s">
        <v>287</v>
      </c>
      <c r="L48" s="30">
        <v>191</v>
      </c>
      <c r="M48" s="30">
        <v>219</v>
      </c>
      <c r="N48" s="5">
        <f t="shared" si="9"/>
        <v>60.031249143389715</v>
      </c>
      <c r="O48" s="4">
        <f t="shared" si="10"/>
        <v>75.196850393700785</v>
      </c>
      <c r="P48">
        <f t="shared" si="11"/>
        <v>6</v>
      </c>
      <c r="Q48">
        <f t="shared" si="12"/>
        <v>3.2</v>
      </c>
      <c r="R48" t="str">
        <f t="shared" si="13"/>
        <v>6' 3.2"</v>
      </c>
      <c r="S48">
        <f t="shared" si="14"/>
        <v>483</v>
      </c>
    </row>
    <row r="49" spans="1:19">
      <c r="A49" s="1" t="s">
        <v>98</v>
      </c>
      <c r="B49" s="1"/>
      <c r="C49" s="1" t="s">
        <v>150</v>
      </c>
      <c r="D49" s="1" t="s">
        <v>151</v>
      </c>
      <c r="E49" s="1" t="s">
        <v>151</v>
      </c>
      <c r="F49" s="1" t="s">
        <v>142</v>
      </c>
      <c r="G49" s="1" t="s">
        <v>152</v>
      </c>
      <c r="H49" s="1" t="s">
        <v>170</v>
      </c>
      <c r="I49" s="1"/>
      <c r="J49" s="1" t="e">
        <f>_xlfn.XLOOKUP(I49,'rank lookup'!$A$1:$A$21,'rank lookup'!$B$1:$B$21,,0)</f>
        <v>#N/A</v>
      </c>
      <c r="K49" s="1" t="s">
        <v>287</v>
      </c>
      <c r="L49" s="30">
        <v>187</v>
      </c>
      <c r="M49" s="30">
        <v>144</v>
      </c>
      <c r="N49" s="5">
        <f t="shared" si="9"/>
        <v>41.179330263948074</v>
      </c>
      <c r="O49" s="4">
        <f t="shared" si="10"/>
        <v>73.622047244094489</v>
      </c>
      <c r="P49">
        <f t="shared" si="11"/>
        <v>6</v>
      </c>
      <c r="Q49">
        <f t="shared" si="12"/>
        <v>1.6</v>
      </c>
      <c r="R49" t="str">
        <f t="shared" si="13"/>
        <v>6' 1.6"</v>
      </c>
      <c r="S49">
        <f t="shared" si="14"/>
        <v>317</v>
      </c>
    </row>
    <row r="50" spans="1:19">
      <c r="A50" t="s">
        <v>153</v>
      </c>
      <c r="C50" s="1" t="s">
        <v>154</v>
      </c>
      <c r="D50" s="1" t="s">
        <v>170</v>
      </c>
      <c r="E50" s="1" t="s">
        <v>152</v>
      </c>
      <c r="F50" s="1" t="s">
        <v>186</v>
      </c>
      <c r="G50" s="1" t="s">
        <v>154</v>
      </c>
      <c r="H50" s="1" t="s">
        <v>192</v>
      </c>
      <c r="I50" s="1"/>
      <c r="J50" s="1" t="e">
        <f>_xlfn.XLOOKUP(I50,'rank lookup'!$A$1:$A$21,'rank lookup'!$B$1:$B$21,,0)</f>
        <v>#N/A</v>
      </c>
      <c r="K50" s="1" t="s">
        <v>287</v>
      </c>
      <c r="L50" s="30">
        <v>189</v>
      </c>
      <c r="M50" s="30">
        <v>199</v>
      </c>
      <c r="N50" s="5">
        <f t="shared" si="9"/>
        <v>55.709526608997514</v>
      </c>
      <c r="O50" s="4">
        <f t="shared" si="10"/>
        <v>74.409448818897644</v>
      </c>
      <c r="P50">
        <f t="shared" si="11"/>
        <v>6</v>
      </c>
      <c r="Q50">
        <f t="shared" si="12"/>
        <v>2.4</v>
      </c>
      <c r="R50" t="str">
        <f t="shared" si="13"/>
        <v>6' 2.4"</v>
      </c>
      <c r="S50">
        <f t="shared" si="14"/>
        <v>439</v>
      </c>
    </row>
    <row r="51" spans="1:19">
      <c r="A51" s="1" t="s">
        <v>166</v>
      </c>
      <c r="D51" t="s">
        <v>151</v>
      </c>
      <c r="E51" s="1" t="s">
        <v>151</v>
      </c>
      <c r="F51" s="1" t="s">
        <v>147</v>
      </c>
      <c r="G51" s="1" t="s">
        <v>192</v>
      </c>
      <c r="H51" s="1" t="s">
        <v>245</v>
      </c>
      <c r="I51" s="1"/>
      <c r="J51" s="1" t="e">
        <f>_xlfn.XLOOKUP(I51,'rank lookup'!$A$1:$A$21,'rank lookup'!$B$1:$B$21,,0)</f>
        <v>#N/A</v>
      </c>
      <c r="K51" s="1" t="s">
        <v>287</v>
      </c>
      <c r="L51" s="30">
        <v>192</v>
      </c>
      <c r="M51" s="30">
        <v>159</v>
      </c>
      <c r="N51" s="5">
        <f t="shared" si="9"/>
        <v>43.131510416666671</v>
      </c>
      <c r="O51" s="4">
        <f t="shared" si="10"/>
        <v>75.59055118110237</v>
      </c>
      <c r="P51">
        <f t="shared" si="11"/>
        <v>6</v>
      </c>
      <c r="Q51">
        <f t="shared" si="12"/>
        <v>3.6</v>
      </c>
      <c r="R51" t="str">
        <f t="shared" si="13"/>
        <v>6' 3.6"</v>
      </c>
      <c r="S51">
        <f t="shared" si="14"/>
        <v>351</v>
      </c>
    </row>
    <row r="52" spans="1:19">
      <c r="A52" s="1" t="s">
        <v>87</v>
      </c>
      <c r="B52" s="1">
        <v>1</v>
      </c>
      <c r="C52" s="1" t="s">
        <v>142</v>
      </c>
      <c r="D52" s="1" t="s">
        <v>142</v>
      </c>
      <c r="E52" s="1" t="s">
        <v>147</v>
      </c>
      <c r="F52" s="1" t="s">
        <v>192</v>
      </c>
      <c r="G52" s="1" t="s">
        <v>232</v>
      </c>
      <c r="H52" s="1" t="s">
        <v>179</v>
      </c>
      <c r="I52" s="1"/>
      <c r="J52" s="1" t="e">
        <f>_xlfn.XLOOKUP(I52,'rank lookup'!$A$1:$A$21,'rank lookup'!$B$1:$B$21,,0)</f>
        <v>#N/A</v>
      </c>
      <c r="K52" s="1" t="s">
        <v>287</v>
      </c>
      <c r="L52" s="30">
        <v>192</v>
      </c>
      <c r="M52" s="30">
        <v>189</v>
      </c>
      <c r="N52" s="5">
        <f t="shared" si="9"/>
        <v>51.26953125</v>
      </c>
      <c r="O52" s="4">
        <f t="shared" si="10"/>
        <v>75.59055118110237</v>
      </c>
      <c r="P52">
        <f t="shared" si="11"/>
        <v>6</v>
      </c>
      <c r="Q52">
        <f t="shared" si="12"/>
        <v>3.6</v>
      </c>
      <c r="R52" t="str">
        <f t="shared" si="13"/>
        <v>6' 3.6"</v>
      </c>
      <c r="S52">
        <f t="shared" si="14"/>
        <v>417</v>
      </c>
    </row>
    <row r="53" spans="1:19">
      <c r="A53" s="1" t="s">
        <v>90</v>
      </c>
      <c r="B53" s="1"/>
      <c r="C53" s="1" t="s">
        <v>148</v>
      </c>
      <c r="D53" s="1" t="s">
        <v>150</v>
      </c>
      <c r="E53" s="1" t="s">
        <v>148</v>
      </c>
      <c r="F53" s="1" t="s">
        <v>179</v>
      </c>
      <c r="G53" s="1"/>
      <c r="H53" s="1"/>
      <c r="I53" s="1"/>
      <c r="J53" s="1" t="e">
        <f>_xlfn.XLOOKUP(I53,'rank lookup'!$A$1:$A$21,'rank lookup'!$B$1:$B$21,,0)</f>
        <v>#N/A</v>
      </c>
      <c r="K53" s="1" t="s">
        <v>287</v>
      </c>
      <c r="L53" s="30">
        <v>189</v>
      </c>
      <c r="M53" s="30">
        <v>161</v>
      </c>
      <c r="N53" s="5">
        <f t="shared" si="9"/>
        <v>45.071526553008034</v>
      </c>
      <c r="O53" s="4">
        <f t="shared" si="10"/>
        <v>74.409448818897644</v>
      </c>
      <c r="P53">
        <f t="shared" si="11"/>
        <v>6</v>
      </c>
      <c r="Q53">
        <f t="shared" si="12"/>
        <v>2.4</v>
      </c>
      <c r="R53" t="str">
        <f t="shared" si="13"/>
        <v>6' 2.4"</v>
      </c>
      <c r="S53">
        <f t="shared" si="14"/>
        <v>355</v>
      </c>
    </row>
    <row r="54" spans="1:19">
      <c r="A54" t="s">
        <v>119</v>
      </c>
      <c r="E54" s="1" t="s">
        <v>154</v>
      </c>
      <c r="F54" s="1" t="s">
        <v>169</v>
      </c>
      <c r="G54" s="1" t="s">
        <v>180</v>
      </c>
      <c r="H54" s="1" t="s">
        <v>246</v>
      </c>
      <c r="I54" s="1"/>
      <c r="J54" s="1" t="e">
        <f>_xlfn.XLOOKUP(I54,'rank lookup'!$A$1:$A$21,'rank lookup'!$B$1:$B$21,,0)</f>
        <v>#N/A</v>
      </c>
      <c r="K54" s="1" t="s">
        <v>287</v>
      </c>
      <c r="L54" s="30">
        <v>178</v>
      </c>
      <c r="M54" s="30">
        <v>166</v>
      </c>
      <c r="N54" s="5">
        <f t="shared" si="9"/>
        <v>52.392374700164119</v>
      </c>
      <c r="O54" s="4">
        <f t="shared" si="10"/>
        <v>70.078740157480311</v>
      </c>
      <c r="P54">
        <f t="shared" si="11"/>
        <v>5</v>
      </c>
      <c r="Q54">
        <f t="shared" si="12"/>
        <v>10.1</v>
      </c>
      <c r="R54" t="str">
        <f t="shared" si="13"/>
        <v>5' 10.1"</v>
      </c>
      <c r="S54">
        <f t="shared" si="14"/>
        <v>366</v>
      </c>
    </row>
    <row r="55" spans="1:19">
      <c r="A55" s="1" t="s">
        <v>113</v>
      </c>
      <c r="B55" s="1"/>
      <c r="C55" s="1" t="s">
        <v>147</v>
      </c>
      <c r="D55" s="1" t="s">
        <v>148</v>
      </c>
      <c r="E55" s="1" t="s">
        <v>179</v>
      </c>
      <c r="F55" s="1"/>
      <c r="G55" s="1"/>
      <c r="H55" s="1"/>
      <c r="I55" s="1"/>
      <c r="J55" s="1" t="e">
        <f>_xlfn.XLOOKUP(I55,'rank lookup'!$A$1:$A$21,'rank lookup'!$B$1:$B$21,,0)</f>
        <v>#N/A</v>
      </c>
      <c r="K55" s="1" t="s">
        <v>287</v>
      </c>
      <c r="L55" s="30">
        <v>181</v>
      </c>
      <c r="M55" s="30">
        <v>189</v>
      </c>
      <c r="N55" s="5">
        <f t="shared" si="9"/>
        <v>57.690546686609082</v>
      </c>
      <c r="O55" s="4">
        <f t="shared" si="10"/>
        <v>71.259842519685037</v>
      </c>
      <c r="P55">
        <f t="shared" si="11"/>
        <v>5</v>
      </c>
      <c r="Q55">
        <f t="shared" si="12"/>
        <v>11.3</v>
      </c>
      <c r="R55" t="str">
        <f t="shared" si="13"/>
        <v>5' 11.3"</v>
      </c>
      <c r="S55">
        <f t="shared" si="14"/>
        <v>417</v>
      </c>
    </row>
    <row r="56" spans="1:19">
      <c r="A56" s="1" t="s">
        <v>126</v>
      </c>
      <c r="B56" s="1"/>
      <c r="C56" s="1" t="s">
        <v>152</v>
      </c>
      <c r="D56" s="1" t="s">
        <v>154</v>
      </c>
      <c r="E56" s="1" t="s">
        <v>180</v>
      </c>
      <c r="F56" s="1" t="s">
        <v>194</v>
      </c>
      <c r="G56" s="1" t="s">
        <v>233</v>
      </c>
      <c r="H56" s="1"/>
      <c r="I56" s="1"/>
      <c r="J56" s="1" t="e">
        <f>_xlfn.XLOOKUP(I56,'rank lookup'!$A$1:$A$21,'rank lookup'!$B$1:$B$21,,0)</f>
        <v>#N/A</v>
      </c>
      <c r="K56" s="1" t="s">
        <v>287</v>
      </c>
      <c r="L56" s="30">
        <v>169</v>
      </c>
      <c r="M56" s="30">
        <v>107</v>
      </c>
      <c r="N56" s="5">
        <f t="shared" si="9"/>
        <v>37.463674241098005</v>
      </c>
      <c r="O56" s="4">
        <f t="shared" si="10"/>
        <v>66.535433070866134</v>
      </c>
      <c r="P56">
        <f t="shared" si="11"/>
        <v>5</v>
      </c>
      <c r="Q56">
        <f t="shared" si="12"/>
        <v>6.5</v>
      </c>
      <c r="R56" t="str">
        <f t="shared" si="13"/>
        <v>5' 6.5"</v>
      </c>
      <c r="S56">
        <f t="shared" si="14"/>
        <v>236</v>
      </c>
    </row>
    <row r="57" spans="1:19">
      <c r="A57" s="1" t="s">
        <v>107</v>
      </c>
      <c r="B57" s="1"/>
      <c r="C57" s="1" t="s">
        <v>151</v>
      </c>
      <c r="D57" s="1" t="s">
        <v>169</v>
      </c>
      <c r="E57" s="1" t="s">
        <v>179</v>
      </c>
      <c r="F57" s="1"/>
      <c r="G57" s="1"/>
      <c r="H57" s="1"/>
      <c r="I57" s="1"/>
      <c r="J57" s="1" t="e">
        <f>_xlfn.XLOOKUP(I57,'rank lookup'!$A$1:$A$21,'rank lookup'!$B$1:$B$21,,0)</f>
        <v>#N/A</v>
      </c>
      <c r="K57" s="1" t="s">
        <v>287</v>
      </c>
      <c r="L57" s="30">
        <v>185</v>
      </c>
      <c r="M57" s="30">
        <v>181</v>
      </c>
      <c r="N57" s="5">
        <f t="shared" si="9"/>
        <v>52.885317750182615</v>
      </c>
      <c r="O57" s="4">
        <f t="shared" si="10"/>
        <v>72.834645669291348</v>
      </c>
      <c r="P57">
        <f t="shared" si="11"/>
        <v>6</v>
      </c>
      <c r="Q57">
        <f t="shared" si="12"/>
        <v>0.8</v>
      </c>
      <c r="R57" t="str">
        <f t="shared" si="13"/>
        <v>6' 0.8"</v>
      </c>
      <c r="S57">
        <f t="shared" si="14"/>
        <v>399</v>
      </c>
    </row>
  </sheetData>
  <autoFilter ref="A3:S55" xr:uid="{7067DD38-AD06-4250-9520-A2F29B57D9C0}">
    <sortState xmlns:xlrd2="http://schemas.microsoft.com/office/spreadsheetml/2017/richdata2" ref="A4:S58">
      <sortCondition ref="J3:J55"/>
    </sortState>
  </autoFilter>
  <hyperlinks>
    <hyperlink ref="C2" r:id="rId1" xr:uid="{87466BF1-5609-4E2B-8758-117ACA38F38B}"/>
    <hyperlink ref="L2" r:id="rId2" xr:uid="{C0442D72-5253-4BBA-8D3E-783A60997DCF}"/>
  </hyperlinks>
  <pageMargins left="0.7" right="0.7" top="0.75" bottom="0.75" header="0.3" footer="0.3"/>
  <pageSetup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38580-91F7-4D0E-9E3A-80F41966CC19}">
  <sheetPr codeName="Sheet9"/>
  <dimension ref="A1:B155"/>
  <sheetViews>
    <sheetView topLeftCell="A140" workbookViewId="0">
      <selection activeCell="A156" sqref="A156"/>
    </sheetView>
  </sheetViews>
  <sheetFormatPr defaultRowHeight="14.5"/>
  <cols>
    <col min="1" max="1" width="25.81640625" bestFit="1" customWidth="1"/>
    <col min="2" max="2" width="40.54296875" customWidth="1"/>
    <col min="3" max="3" width="2.54296875" customWidth="1"/>
    <col min="4" max="4" width="20.54296875" customWidth="1"/>
    <col min="5" max="5" width="40.54296875" customWidth="1"/>
  </cols>
  <sheetData>
    <row r="1" spans="1:2">
      <c r="A1" t="s">
        <v>0</v>
      </c>
      <c r="B1" t="s">
        <v>253</v>
      </c>
    </row>
    <row r="2" spans="1:2">
      <c r="B2" s="17"/>
    </row>
    <row r="5" spans="1:2">
      <c r="A5" s="3" t="s">
        <v>1</v>
      </c>
    </row>
    <row r="6" spans="1:2">
      <c r="A6" t="s">
        <v>158</v>
      </c>
      <c r="B6" t="s">
        <v>2</v>
      </c>
    </row>
    <row r="7" spans="1:2">
      <c r="A7" t="s">
        <v>129</v>
      </c>
    </row>
    <row r="9" spans="1:2">
      <c r="A9" t="s">
        <v>130</v>
      </c>
    </row>
    <row r="10" spans="1:2">
      <c r="A10" s="17" t="s">
        <v>127</v>
      </c>
    </row>
    <row r="12" spans="1:2" ht="25">
      <c r="A12" s="18" t="s">
        <v>128</v>
      </c>
    </row>
    <row r="14" spans="1:2" ht="25">
      <c r="A14" s="18"/>
    </row>
    <row r="38" spans="1:1">
      <c r="A38" t="s">
        <v>159</v>
      </c>
    </row>
    <row r="39" spans="1:1">
      <c r="A39" t="s">
        <v>157</v>
      </c>
    </row>
    <row r="137" spans="1:1">
      <c r="A137" t="s">
        <v>160</v>
      </c>
    </row>
    <row r="138" spans="1:1">
      <c r="A138" s="17" t="s">
        <v>134</v>
      </c>
    </row>
    <row r="139" spans="1:1">
      <c r="A139" t="s">
        <v>161</v>
      </c>
    </row>
    <row r="141" spans="1:1">
      <c r="A141" t="s">
        <v>183</v>
      </c>
    </row>
    <row r="142" spans="1:1">
      <c r="A142" s="17" t="s">
        <v>134</v>
      </c>
    </row>
    <row r="143" spans="1:1">
      <c r="A143" t="s">
        <v>184</v>
      </c>
    </row>
    <row r="145" spans="1:1">
      <c r="A145" t="s">
        <v>214</v>
      </c>
    </row>
    <row r="146" spans="1:1">
      <c r="A146" s="17" t="s">
        <v>134</v>
      </c>
    </row>
    <row r="147" spans="1:1">
      <c r="A147" t="s">
        <v>215</v>
      </c>
    </row>
    <row r="149" spans="1:1">
      <c r="A149" t="s">
        <v>235</v>
      </c>
    </row>
    <row r="150" spans="1:1">
      <c r="A150" s="17" t="s">
        <v>134</v>
      </c>
    </row>
    <row r="151" spans="1:1">
      <c r="A151" t="s">
        <v>236</v>
      </c>
    </row>
    <row r="153" spans="1:1">
      <c r="A153" t="s">
        <v>254</v>
      </c>
    </row>
    <row r="154" spans="1:1">
      <c r="A154" s="17" t="s">
        <v>134</v>
      </c>
    </row>
    <row r="155" spans="1:1">
      <c r="A155" t="s">
        <v>255</v>
      </c>
    </row>
  </sheetData>
  <hyperlinks>
    <hyperlink ref="A10" r:id="rId1" xr:uid="{31C73356-7DC0-4298-8CDD-38AFBFE809D7}"/>
    <hyperlink ref="A138" r:id="rId2" xr:uid="{733FC5E5-E250-451A-8A90-1D3BCA57DC39}"/>
    <hyperlink ref="A142" r:id="rId3" xr:uid="{7EFEF7D6-1FE3-4B02-8704-088365A1D545}"/>
    <hyperlink ref="A146" r:id="rId4" xr:uid="{2868AD04-8A08-4848-AFD8-AB4F6CFF8232}"/>
    <hyperlink ref="A150" r:id="rId5" xr:uid="{D36DF8E3-A375-4A42-9FB5-51B20BFE54A5}"/>
    <hyperlink ref="A154" r:id="rId6" xr:uid="{A8CD8906-4AE4-4546-B753-7549D03B6637}"/>
  </hyperlinks>
  <pageMargins left="0.7" right="0.7" top="0.75" bottom="0.75" header="0.3" footer="0.3"/>
  <pageSetup orientation="portrait"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BA818-88B3-4AEA-9152-6A5AF77C3B55}">
  <dimension ref="A1:W49"/>
  <sheetViews>
    <sheetView topLeftCell="D10" zoomScale="106" zoomScaleNormal="106" workbookViewId="0">
      <selection activeCell="A10" sqref="A10"/>
    </sheetView>
  </sheetViews>
  <sheetFormatPr defaultRowHeight="14.5"/>
  <cols>
    <col min="1" max="7" width="21.1796875" customWidth="1"/>
    <col min="10" max="10" width="11.26953125" bestFit="1" customWidth="1"/>
    <col min="11" max="11" width="8.7265625" style="4"/>
    <col min="18" max="18" width="9.54296875" customWidth="1"/>
  </cols>
  <sheetData>
    <row r="1" spans="1:23">
      <c r="C1" t="s">
        <v>174</v>
      </c>
      <c r="H1" t="s">
        <v>178</v>
      </c>
    </row>
    <row r="2" spans="1:23">
      <c r="C2" s="17" t="s">
        <v>162</v>
      </c>
      <c r="D2" s="17"/>
      <c r="E2" s="17"/>
      <c r="P2">
        <f>MAX(P4:P45)</f>
        <v>42</v>
      </c>
      <c r="Q2">
        <f>MAX(Q4:Q45)</f>
        <v>42</v>
      </c>
      <c r="R2">
        <f>MAX(R4:R45)</f>
        <v>42</v>
      </c>
    </row>
    <row r="3" spans="1:23">
      <c r="A3" t="s">
        <v>3</v>
      </c>
      <c r="B3" t="s">
        <v>11</v>
      </c>
      <c r="C3" t="s">
        <v>131</v>
      </c>
      <c r="D3" t="s">
        <v>163</v>
      </c>
      <c r="E3" t="s">
        <v>175</v>
      </c>
      <c r="F3" t="s">
        <v>177</v>
      </c>
      <c r="G3" t="s">
        <v>164</v>
      </c>
      <c r="H3" t="s">
        <v>5</v>
      </c>
      <c r="I3" t="s">
        <v>4</v>
      </c>
      <c r="J3" t="s">
        <v>26</v>
      </c>
      <c r="K3" s="4" t="s">
        <v>6</v>
      </c>
      <c r="L3" t="s">
        <v>7</v>
      </c>
      <c r="M3" t="s">
        <v>8</v>
      </c>
      <c r="N3" t="s">
        <v>9</v>
      </c>
      <c r="O3" t="s">
        <v>10</v>
      </c>
      <c r="P3" t="s">
        <v>171</v>
      </c>
      <c r="Q3" t="s">
        <v>172</v>
      </c>
      <c r="R3" t="s">
        <v>173</v>
      </c>
      <c r="S3" t="s">
        <v>181</v>
      </c>
      <c r="T3" s="14" t="s">
        <v>182</v>
      </c>
      <c r="W3">
        <f>SUM(W4:W23)</f>
        <v>41</v>
      </c>
    </row>
    <row r="4" spans="1:23" ht="25">
      <c r="A4" s="1" t="s">
        <v>86</v>
      </c>
      <c r="B4" s="1">
        <v>7</v>
      </c>
      <c r="C4" s="1" t="s">
        <v>14</v>
      </c>
      <c r="D4" s="1" t="s">
        <v>14</v>
      </c>
      <c r="E4" s="1" t="s">
        <v>14</v>
      </c>
      <c r="F4" s="1">
        <f>_xlfn.XLOOKUP(E4,'rank lookup'!$A$1:$A$21,'rank lookup'!$B$1:$B$21,,0)</f>
        <v>1</v>
      </c>
      <c r="G4" s="1" t="s">
        <v>176</v>
      </c>
      <c r="H4" s="19">
        <v>192</v>
      </c>
      <c r="I4" s="19">
        <v>180</v>
      </c>
      <c r="J4" s="5">
        <f t="shared" ref="J4:J49" si="0">I4/(H4*H4)*10000</f>
        <v>48.828125</v>
      </c>
      <c r="K4" s="4">
        <f t="shared" ref="K4:K49" si="1">CONVERT(H4,"cm","in")</f>
        <v>75.59055118110237</v>
      </c>
      <c r="L4">
        <f t="shared" ref="L4:L49" si="2">_xlfn.FLOOR.MATH(K4/12)</f>
        <v>6</v>
      </c>
      <c r="M4">
        <f t="shared" ref="M4:M49" si="3">ROUND(K4-L4*12,1)</f>
        <v>3.6</v>
      </c>
      <c r="N4" t="str">
        <f t="shared" ref="N4:N49" si="4">L4&amp;"' "&amp;M4&amp;""""</f>
        <v>6' 3.6"</v>
      </c>
      <c r="O4">
        <f t="shared" ref="O4:O49" si="5">ROUND(CONVERT(I4,"kg","lbm"),0)</f>
        <v>397</v>
      </c>
      <c r="P4">
        <f>_xlfn.RANK.EQ(H4,H$4:H$45)</f>
        <v>2</v>
      </c>
      <c r="Q4">
        <f>_xlfn.RANK.EQ(I4,I$4:I$45)</f>
        <v>7</v>
      </c>
      <c r="R4">
        <f>_xlfn.RANK.EQ(J4,J$4:J$45)</f>
        <v>16</v>
      </c>
      <c r="S4">
        <f>_xlfn.XLOOKUP(A4,'November 2022 Data'!$A$4:$A$48,'November 2022 Data'!$H$4:$H$48,,0)</f>
        <v>181</v>
      </c>
      <c r="T4">
        <f>I4-S4</f>
        <v>-1</v>
      </c>
      <c r="V4" cm="1">
        <f t="array" ref="V4:V23">_xlfn.SEQUENCE(20,1,-3)</f>
        <v>-3</v>
      </c>
      <c r="W4">
        <f>COUNTIFS($T$4:$T$44,V4)</f>
        <v>3</v>
      </c>
    </row>
    <row r="5" spans="1:23">
      <c r="A5" s="1" t="s">
        <v>123</v>
      </c>
      <c r="B5" s="1">
        <v>2</v>
      </c>
      <c r="C5" s="1" t="s">
        <v>39</v>
      </c>
      <c r="D5" s="1" t="s">
        <v>39</v>
      </c>
      <c r="E5" s="1" t="s">
        <v>39</v>
      </c>
      <c r="F5" s="1">
        <f>_xlfn.XLOOKUP(E5,'rank lookup'!$A$1:$A$21,'rank lookup'!$B$1:$B$21,,0)</f>
        <v>2</v>
      </c>
      <c r="G5" s="1"/>
      <c r="H5" s="19">
        <v>175</v>
      </c>
      <c r="I5" s="19">
        <v>165</v>
      </c>
      <c r="J5" s="5">
        <f t="shared" si="0"/>
        <v>53.877551020408163</v>
      </c>
      <c r="K5" s="4">
        <f t="shared" si="1"/>
        <v>68.897637795275585</v>
      </c>
      <c r="L5">
        <f t="shared" si="2"/>
        <v>5</v>
      </c>
      <c r="M5">
        <f t="shared" si="3"/>
        <v>8.9</v>
      </c>
      <c r="N5" t="str">
        <f t="shared" si="4"/>
        <v>5' 8.9"</v>
      </c>
      <c r="O5">
        <f t="shared" si="5"/>
        <v>364</v>
      </c>
      <c r="P5">
        <f t="shared" ref="P5:R45" si="6">_xlfn.RANK.EQ(H5,H$4:H$45)</f>
        <v>39</v>
      </c>
      <c r="Q5">
        <f t="shared" si="6"/>
        <v>16</v>
      </c>
      <c r="R5">
        <f t="shared" si="6"/>
        <v>6</v>
      </c>
      <c r="S5">
        <f>_xlfn.XLOOKUP(A5,'November 2022 Data'!$A$4:$A$48,'November 2022 Data'!$H$4:$H$48,,0)</f>
        <v>163</v>
      </c>
      <c r="T5">
        <f t="shared" ref="T5:T44" si="7">I5-S5</f>
        <v>2</v>
      </c>
      <c r="V5">
        <v>-2</v>
      </c>
      <c r="W5">
        <f t="shared" ref="W5:W23" si="8">COUNTIFS($T$4:$T$44,V5)</f>
        <v>1</v>
      </c>
    </row>
    <row r="6" spans="1:23">
      <c r="A6" s="1" t="s">
        <v>109</v>
      </c>
      <c r="B6" s="1">
        <v>1</v>
      </c>
      <c r="C6" s="1" t="s">
        <v>39</v>
      </c>
      <c r="D6" s="1" t="s">
        <v>39</v>
      </c>
      <c r="E6" s="1" t="s">
        <v>31</v>
      </c>
      <c r="F6" s="1">
        <f>_xlfn.XLOOKUP(E6,'rank lookup'!$A$1:$A$21,'rank lookup'!$B$1:$B$21,,0)</f>
        <v>3</v>
      </c>
      <c r="G6" s="1"/>
      <c r="H6" s="19">
        <v>183</v>
      </c>
      <c r="I6" s="19">
        <v>163</v>
      </c>
      <c r="J6" s="5">
        <f t="shared" si="0"/>
        <v>48.672698498014277</v>
      </c>
      <c r="K6" s="4">
        <f t="shared" si="1"/>
        <v>72.047244094488192</v>
      </c>
      <c r="L6">
        <f t="shared" si="2"/>
        <v>6</v>
      </c>
      <c r="M6">
        <f t="shared" si="3"/>
        <v>0</v>
      </c>
      <c r="N6" t="str">
        <f t="shared" si="4"/>
        <v>6' 0"</v>
      </c>
      <c r="O6">
        <f t="shared" si="5"/>
        <v>359</v>
      </c>
      <c r="P6">
        <f t="shared" si="6"/>
        <v>27</v>
      </c>
      <c r="Q6">
        <f t="shared" si="6"/>
        <v>19</v>
      </c>
      <c r="R6">
        <f t="shared" si="6"/>
        <v>19</v>
      </c>
      <c r="S6">
        <f>_xlfn.XLOOKUP(A6,'November 2022 Data'!$A$4:$A$48,'November 2022 Data'!$H$4:$H$48,,0)</f>
        <v>162</v>
      </c>
      <c r="T6">
        <f t="shared" si="7"/>
        <v>1</v>
      </c>
      <c r="V6">
        <v>-1</v>
      </c>
      <c r="W6">
        <f t="shared" si="8"/>
        <v>1</v>
      </c>
    </row>
    <row r="7" spans="1:23">
      <c r="A7" s="1" t="s">
        <v>114</v>
      </c>
      <c r="B7" s="1"/>
      <c r="C7" s="1" t="s">
        <v>31</v>
      </c>
      <c r="D7" s="1" t="s">
        <v>31</v>
      </c>
      <c r="E7" s="1" t="s">
        <v>31</v>
      </c>
      <c r="F7" s="1">
        <f>_xlfn.XLOOKUP(E7,'rank lookup'!$A$1:$A$21,'rank lookup'!$B$1:$B$21,,0)</f>
        <v>3</v>
      </c>
      <c r="H7" s="19">
        <v>183</v>
      </c>
      <c r="I7" s="19">
        <v>135</v>
      </c>
      <c r="J7" s="5">
        <f t="shared" si="0"/>
        <v>40.311744154797097</v>
      </c>
      <c r="K7" s="4">
        <f t="shared" si="1"/>
        <v>72.047244094488192</v>
      </c>
      <c r="L7">
        <f t="shared" si="2"/>
        <v>6</v>
      </c>
      <c r="M7">
        <f t="shared" si="3"/>
        <v>0</v>
      </c>
      <c r="N7" t="str">
        <f t="shared" si="4"/>
        <v>6' 0"</v>
      </c>
      <c r="O7">
        <f t="shared" si="5"/>
        <v>298</v>
      </c>
      <c r="P7">
        <f t="shared" si="6"/>
        <v>27</v>
      </c>
      <c r="Q7">
        <f t="shared" si="6"/>
        <v>39</v>
      </c>
      <c r="R7">
        <f t="shared" si="6"/>
        <v>41</v>
      </c>
      <c r="S7">
        <f>_xlfn.XLOOKUP(A7,'November 2022 Data'!$A$4:$A$48,'November 2022 Data'!$H$4:$H$48,,0)</f>
        <v>132</v>
      </c>
      <c r="T7">
        <f t="shared" si="7"/>
        <v>3</v>
      </c>
      <c r="V7">
        <v>0</v>
      </c>
      <c r="W7">
        <f t="shared" si="8"/>
        <v>6</v>
      </c>
    </row>
    <row r="8" spans="1:23">
      <c r="A8" s="1" t="s">
        <v>95</v>
      </c>
      <c r="B8" s="1"/>
      <c r="C8" s="1" t="s">
        <v>31</v>
      </c>
      <c r="D8" s="1" t="s">
        <v>31</v>
      </c>
      <c r="E8" s="1" t="s">
        <v>31</v>
      </c>
      <c r="F8" s="1">
        <f>_xlfn.XLOOKUP(E8,'rank lookup'!$A$1:$A$21,'rank lookup'!$B$1:$B$21,,0)</f>
        <v>3</v>
      </c>
      <c r="G8" s="1"/>
      <c r="H8" s="19">
        <v>185</v>
      </c>
      <c r="I8" s="19">
        <v>146</v>
      </c>
      <c r="J8" s="5">
        <f t="shared" si="0"/>
        <v>42.658875091307529</v>
      </c>
      <c r="K8" s="4">
        <f t="shared" si="1"/>
        <v>72.834645669291348</v>
      </c>
      <c r="L8">
        <f t="shared" si="2"/>
        <v>6</v>
      </c>
      <c r="M8">
        <f t="shared" si="3"/>
        <v>0.8</v>
      </c>
      <c r="N8" t="str">
        <f t="shared" si="4"/>
        <v>6' 0.8"</v>
      </c>
      <c r="O8">
        <f t="shared" si="5"/>
        <v>322</v>
      </c>
      <c r="P8">
        <f t="shared" si="6"/>
        <v>20</v>
      </c>
      <c r="Q8">
        <f t="shared" si="6"/>
        <v>32</v>
      </c>
      <c r="R8">
        <f t="shared" si="6"/>
        <v>34</v>
      </c>
      <c r="S8">
        <f>_xlfn.XLOOKUP(A8,'November 2022 Data'!$A$4:$A$48,'November 2022 Data'!$H$4:$H$48,,0)</f>
        <v>140</v>
      </c>
      <c r="T8">
        <f t="shared" si="7"/>
        <v>6</v>
      </c>
      <c r="V8">
        <v>1</v>
      </c>
      <c r="W8">
        <f t="shared" si="8"/>
        <v>4</v>
      </c>
    </row>
    <row r="9" spans="1:23">
      <c r="A9" s="1" t="s">
        <v>96</v>
      </c>
      <c r="B9" s="1"/>
      <c r="C9" s="1" t="s">
        <v>139</v>
      </c>
      <c r="D9" s="1" t="s">
        <v>132</v>
      </c>
      <c r="E9" s="1" t="s">
        <v>31</v>
      </c>
      <c r="F9" s="1">
        <f>_xlfn.XLOOKUP(E9,'rank lookup'!$A$1:$A$21,'rank lookup'!$B$1:$B$21,,0)</f>
        <v>3</v>
      </c>
      <c r="G9" s="1"/>
      <c r="H9" s="19">
        <v>186</v>
      </c>
      <c r="I9" s="19">
        <v>182</v>
      </c>
      <c r="J9" s="5">
        <f t="shared" si="0"/>
        <v>52.607237830963122</v>
      </c>
      <c r="K9" s="4">
        <f t="shared" si="1"/>
        <v>73.228346456692918</v>
      </c>
      <c r="L9">
        <f t="shared" si="2"/>
        <v>6</v>
      </c>
      <c r="M9">
        <f t="shared" si="3"/>
        <v>1.2</v>
      </c>
      <c r="N9" t="str">
        <f t="shared" si="4"/>
        <v>6' 1.2"</v>
      </c>
      <c r="O9">
        <f t="shared" si="5"/>
        <v>401</v>
      </c>
      <c r="P9">
        <f t="shared" si="6"/>
        <v>17</v>
      </c>
      <c r="Q9">
        <f t="shared" si="6"/>
        <v>5</v>
      </c>
      <c r="R9">
        <f t="shared" si="6"/>
        <v>8</v>
      </c>
      <c r="S9">
        <f>_xlfn.XLOOKUP(A9,'November 2022 Data'!$A$4:$A$48,'November 2022 Data'!$H$4:$H$48,,0)</f>
        <v>182</v>
      </c>
      <c r="T9">
        <f t="shared" si="7"/>
        <v>0</v>
      </c>
      <c r="V9">
        <v>2</v>
      </c>
      <c r="W9">
        <f t="shared" si="8"/>
        <v>3</v>
      </c>
    </row>
    <row r="10" spans="1:23">
      <c r="A10" s="1" t="s">
        <v>102</v>
      </c>
      <c r="B10" s="1"/>
      <c r="C10" s="1" t="s">
        <v>42</v>
      </c>
      <c r="D10" s="1" t="s">
        <v>42</v>
      </c>
      <c r="E10" s="1" t="s">
        <v>42</v>
      </c>
      <c r="F10" s="1">
        <f>_xlfn.XLOOKUP(E10,'rank lookup'!$A$1:$A$21,'rank lookup'!$B$1:$B$21,,0)</f>
        <v>4</v>
      </c>
      <c r="G10" s="1"/>
      <c r="H10" s="19">
        <v>185</v>
      </c>
      <c r="I10" s="19">
        <v>142</v>
      </c>
      <c r="J10" s="5">
        <f t="shared" si="0"/>
        <v>41.490138787436081</v>
      </c>
      <c r="K10" s="4">
        <f t="shared" si="1"/>
        <v>72.834645669291348</v>
      </c>
      <c r="L10">
        <f t="shared" si="2"/>
        <v>6</v>
      </c>
      <c r="M10">
        <f t="shared" si="3"/>
        <v>0.8</v>
      </c>
      <c r="N10" t="str">
        <f t="shared" si="4"/>
        <v>6' 0.8"</v>
      </c>
      <c r="O10">
        <f t="shared" si="5"/>
        <v>313</v>
      </c>
      <c r="P10">
        <f t="shared" si="6"/>
        <v>20</v>
      </c>
      <c r="Q10">
        <f t="shared" si="6"/>
        <v>36</v>
      </c>
      <c r="R10">
        <f t="shared" si="6"/>
        <v>38</v>
      </c>
      <c r="S10">
        <f>_xlfn.XLOOKUP(A10,'November 2022 Data'!$A$4:$A$48,'November 2022 Data'!$H$4:$H$48,,0)</f>
        <v>138</v>
      </c>
      <c r="T10">
        <f t="shared" si="7"/>
        <v>4</v>
      </c>
      <c r="V10">
        <v>3</v>
      </c>
      <c r="W10">
        <f t="shared" si="8"/>
        <v>10</v>
      </c>
    </row>
    <row r="11" spans="1:23">
      <c r="A11" s="1" t="s">
        <v>94</v>
      </c>
      <c r="B11" s="1"/>
      <c r="C11" s="1" t="s">
        <v>136</v>
      </c>
      <c r="D11" s="1" t="s">
        <v>132</v>
      </c>
      <c r="E11" s="1" t="s">
        <v>42</v>
      </c>
      <c r="F11" s="1">
        <f>_xlfn.XLOOKUP(E11,'rank lookup'!$A$1:$A$21,'rank lookup'!$B$1:$B$21,,0)</f>
        <v>4</v>
      </c>
      <c r="G11" s="1"/>
      <c r="H11" s="19">
        <v>189</v>
      </c>
      <c r="I11" s="19">
        <v>172</v>
      </c>
      <c r="J11" s="5">
        <f t="shared" si="0"/>
        <v>48.150947621847095</v>
      </c>
      <c r="K11" s="4">
        <f t="shared" si="1"/>
        <v>74.409448818897644</v>
      </c>
      <c r="L11">
        <f t="shared" si="2"/>
        <v>6</v>
      </c>
      <c r="M11">
        <f t="shared" si="3"/>
        <v>2.4</v>
      </c>
      <c r="N11" t="str">
        <f t="shared" si="4"/>
        <v>6' 2.4"</v>
      </c>
      <c r="O11">
        <f t="shared" si="5"/>
        <v>379</v>
      </c>
      <c r="P11">
        <f t="shared" si="6"/>
        <v>8</v>
      </c>
      <c r="Q11">
        <f t="shared" si="6"/>
        <v>12</v>
      </c>
      <c r="R11">
        <f t="shared" si="6"/>
        <v>21</v>
      </c>
      <c r="S11">
        <f>_xlfn.XLOOKUP(A11,'November 2022 Data'!$A$4:$A$48,'November 2022 Data'!$H$4:$H$48,,0)</f>
        <v>167</v>
      </c>
      <c r="T11">
        <f t="shared" si="7"/>
        <v>5</v>
      </c>
      <c r="V11">
        <v>4</v>
      </c>
      <c r="W11">
        <f t="shared" si="8"/>
        <v>2</v>
      </c>
    </row>
    <row r="12" spans="1:23">
      <c r="A12" s="1" t="s">
        <v>117</v>
      </c>
      <c r="B12" s="1"/>
      <c r="C12" s="1" t="s">
        <v>136</v>
      </c>
      <c r="D12" s="1" t="s">
        <v>136</v>
      </c>
      <c r="E12" s="1" t="s">
        <v>42</v>
      </c>
      <c r="F12" s="1">
        <f>_xlfn.XLOOKUP(E12,'rank lookup'!$A$1:$A$21,'rank lookup'!$B$1:$B$21,,0)</f>
        <v>4</v>
      </c>
      <c r="G12" s="1"/>
      <c r="H12" s="19">
        <v>180</v>
      </c>
      <c r="I12" s="19">
        <v>158</v>
      </c>
      <c r="J12" s="5">
        <f t="shared" si="0"/>
        <v>48.76543209876543</v>
      </c>
      <c r="K12" s="4">
        <f t="shared" si="1"/>
        <v>70.866141732283467</v>
      </c>
      <c r="L12">
        <f t="shared" si="2"/>
        <v>5</v>
      </c>
      <c r="M12">
        <f t="shared" si="3"/>
        <v>10.9</v>
      </c>
      <c r="N12" t="str">
        <f t="shared" si="4"/>
        <v>5' 10.9"</v>
      </c>
      <c r="O12">
        <f t="shared" si="5"/>
        <v>348</v>
      </c>
      <c r="P12">
        <f t="shared" si="6"/>
        <v>33</v>
      </c>
      <c r="Q12">
        <f t="shared" si="6"/>
        <v>25</v>
      </c>
      <c r="R12">
        <f t="shared" si="6"/>
        <v>17</v>
      </c>
      <c r="S12">
        <f>_xlfn.XLOOKUP(A12,'November 2022 Data'!$A$4:$A$48,'November 2022 Data'!$H$4:$H$48,,0)</f>
        <v>153</v>
      </c>
      <c r="T12">
        <f t="shared" si="7"/>
        <v>5</v>
      </c>
      <c r="V12">
        <v>5</v>
      </c>
      <c r="W12">
        <f t="shared" si="8"/>
        <v>6</v>
      </c>
    </row>
    <row r="13" spans="1:23">
      <c r="A13" s="1" t="s">
        <v>100</v>
      </c>
      <c r="B13" s="1"/>
      <c r="C13" s="1" t="s">
        <v>141</v>
      </c>
      <c r="D13" s="1" t="s">
        <v>139</v>
      </c>
      <c r="E13" s="1" t="s">
        <v>42</v>
      </c>
      <c r="F13" s="1">
        <f>_xlfn.XLOOKUP(E13,'rank lookup'!$A$1:$A$21,'rank lookup'!$B$1:$B$21,,0)</f>
        <v>4</v>
      </c>
      <c r="G13" s="1"/>
      <c r="H13" s="19">
        <v>186</v>
      </c>
      <c r="I13" s="19">
        <v>146</v>
      </c>
      <c r="J13" s="5">
        <f t="shared" si="0"/>
        <v>42.201410567695682</v>
      </c>
      <c r="K13" s="4">
        <f t="shared" si="1"/>
        <v>73.228346456692918</v>
      </c>
      <c r="L13">
        <f t="shared" si="2"/>
        <v>6</v>
      </c>
      <c r="M13">
        <f t="shared" si="3"/>
        <v>1.2</v>
      </c>
      <c r="N13" t="str">
        <f t="shared" si="4"/>
        <v>6' 1.2"</v>
      </c>
      <c r="O13">
        <f t="shared" si="5"/>
        <v>322</v>
      </c>
      <c r="P13">
        <f t="shared" si="6"/>
        <v>17</v>
      </c>
      <c r="Q13">
        <f t="shared" si="6"/>
        <v>32</v>
      </c>
      <c r="R13">
        <f t="shared" si="6"/>
        <v>35</v>
      </c>
      <c r="S13">
        <f>_xlfn.XLOOKUP(A13,'November 2022 Data'!$A$4:$A$48,'November 2022 Data'!$H$4:$H$48,,0)</f>
        <v>135</v>
      </c>
      <c r="T13">
        <f t="shared" si="7"/>
        <v>11</v>
      </c>
      <c r="V13">
        <v>6</v>
      </c>
      <c r="W13">
        <f t="shared" si="8"/>
        <v>1</v>
      </c>
    </row>
    <row r="14" spans="1:23">
      <c r="A14" s="1" t="s">
        <v>112</v>
      </c>
      <c r="B14" s="1">
        <v>1</v>
      </c>
      <c r="C14" s="1" t="s">
        <v>31</v>
      </c>
      <c r="D14" s="1" t="s">
        <v>42</v>
      </c>
      <c r="E14" s="1" t="s">
        <v>132</v>
      </c>
      <c r="F14" s="1">
        <f>_xlfn.XLOOKUP(E14,'rank lookup'!$A$1:$A$21,'rank lookup'!$B$1:$B$21,,0)</f>
        <v>5</v>
      </c>
      <c r="G14" s="1"/>
      <c r="H14" s="19">
        <v>182</v>
      </c>
      <c r="I14" s="19">
        <v>165</v>
      </c>
      <c r="J14" s="5">
        <f t="shared" si="0"/>
        <v>49.812824538099264</v>
      </c>
      <c r="K14" s="4">
        <f t="shared" si="1"/>
        <v>71.653543307086608</v>
      </c>
      <c r="L14">
        <f t="shared" si="2"/>
        <v>5</v>
      </c>
      <c r="M14">
        <f t="shared" si="3"/>
        <v>11.7</v>
      </c>
      <c r="N14" t="str">
        <f t="shared" si="4"/>
        <v>5' 11.7"</v>
      </c>
      <c r="O14">
        <f t="shared" si="5"/>
        <v>364</v>
      </c>
      <c r="P14">
        <f t="shared" si="6"/>
        <v>31</v>
      </c>
      <c r="Q14">
        <f t="shared" si="6"/>
        <v>16</v>
      </c>
      <c r="R14">
        <f t="shared" si="6"/>
        <v>12</v>
      </c>
      <c r="S14">
        <f>_xlfn.XLOOKUP(A14,'November 2022 Data'!$A$4:$A$48,'November 2022 Data'!$H$4:$H$48,,0)</f>
        <v>161</v>
      </c>
      <c r="T14">
        <f t="shared" si="7"/>
        <v>4</v>
      </c>
      <c r="V14">
        <v>7</v>
      </c>
      <c r="W14">
        <f t="shared" si="8"/>
        <v>1</v>
      </c>
    </row>
    <row r="15" spans="1:23">
      <c r="A15" s="1" t="s">
        <v>124</v>
      </c>
      <c r="B15" s="1"/>
      <c r="C15" s="1" t="s">
        <v>132</v>
      </c>
      <c r="D15" s="1" t="s">
        <v>42</v>
      </c>
      <c r="E15" s="1" t="s">
        <v>132</v>
      </c>
      <c r="F15" s="1">
        <f>_xlfn.XLOOKUP(E15,'rank lookup'!$A$1:$A$21,'rank lookup'!$B$1:$B$21,,0)</f>
        <v>5</v>
      </c>
      <c r="G15" s="1"/>
      <c r="H15" s="19">
        <v>174</v>
      </c>
      <c r="I15" s="19">
        <v>130</v>
      </c>
      <c r="J15" s="5">
        <f t="shared" si="0"/>
        <v>42.938300964460304</v>
      </c>
      <c r="K15" s="4">
        <f t="shared" si="1"/>
        <v>68.503937007874015</v>
      </c>
      <c r="L15">
        <f t="shared" si="2"/>
        <v>5</v>
      </c>
      <c r="M15">
        <f t="shared" si="3"/>
        <v>8.5</v>
      </c>
      <c r="N15" t="str">
        <f t="shared" si="4"/>
        <v>5' 8.5"</v>
      </c>
      <c r="O15">
        <f t="shared" si="5"/>
        <v>287</v>
      </c>
      <c r="P15">
        <f t="shared" si="6"/>
        <v>41</v>
      </c>
      <c r="Q15">
        <f t="shared" si="6"/>
        <v>40</v>
      </c>
      <c r="R15">
        <f t="shared" si="6"/>
        <v>33</v>
      </c>
      <c r="S15">
        <f>_xlfn.XLOOKUP(A15,'November 2022 Data'!$A$4:$A$48,'November 2022 Data'!$H$4:$H$48,,0)</f>
        <v>133</v>
      </c>
      <c r="T15">
        <f t="shared" si="7"/>
        <v>-3</v>
      </c>
      <c r="V15">
        <v>8</v>
      </c>
      <c r="W15">
        <f t="shared" si="8"/>
        <v>1</v>
      </c>
    </row>
    <row r="16" spans="1:23">
      <c r="A16" s="1" t="s">
        <v>116</v>
      </c>
      <c r="B16" s="1">
        <v>2</v>
      </c>
      <c r="C16" s="1" t="s">
        <v>39</v>
      </c>
      <c r="D16" s="1" t="s">
        <v>31</v>
      </c>
      <c r="E16" s="1" t="s">
        <v>136</v>
      </c>
      <c r="F16" s="1">
        <f>_xlfn.XLOOKUP(E16,'rank lookup'!$A$1:$A$21,'rank lookup'!$B$1:$B$21,,0)</f>
        <v>6</v>
      </c>
      <c r="G16" s="1"/>
      <c r="H16" s="19">
        <v>179</v>
      </c>
      <c r="I16" s="19">
        <v>174</v>
      </c>
      <c r="J16" s="5">
        <f t="shared" si="0"/>
        <v>54.305421179114262</v>
      </c>
      <c r="K16" s="4">
        <f t="shared" si="1"/>
        <v>70.472440944881896</v>
      </c>
      <c r="L16">
        <f t="shared" si="2"/>
        <v>5</v>
      </c>
      <c r="M16">
        <f t="shared" si="3"/>
        <v>10.5</v>
      </c>
      <c r="N16" t="str">
        <f t="shared" si="4"/>
        <v>5' 10.5"</v>
      </c>
      <c r="O16">
        <f t="shared" si="5"/>
        <v>384</v>
      </c>
      <c r="P16">
        <f t="shared" si="6"/>
        <v>34</v>
      </c>
      <c r="Q16">
        <f t="shared" si="6"/>
        <v>10</v>
      </c>
      <c r="R16">
        <f t="shared" si="6"/>
        <v>4</v>
      </c>
      <c r="S16">
        <f>_xlfn.XLOOKUP(A16,'November 2022 Data'!$A$4:$A$48,'November 2022 Data'!$H$4:$H$48,,0)</f>
        <v>171</v>
      </c>
      <c r="T16">
        <f t="shared" si="7"/>
        <v>3</v>
      </c>
      <c r="V16">
        <v>9</v>
      </c>
      <c r="W16">
        <f t="shared" si="8"/>
        <v>1</v>
      </c>
    </row>
    <row r="17" spans="1:23">
      <c r="A17" s="1" t="s">
        <v>92</v>
      </c>
      <c r="B17" s="1">
        <v>2</v>
      </c>
      <c r="C17" s="1" t="s">
        <v>137</v>
      </c>
      <c r="D17" s="1" t="s">
        <v>42</v>
      </c>
      <c r="E17" s="1" t="s">
        <v>136</v>
      </c>
      <c r="F17" s="1">
        <f>_xlfn.XLOOKUP(E17,'rank lookup'!$A$1:$A$21,'rank lookup'!$B$1:$B$21,,0)</f>
        <v>6</v>
      </c>
      <c r="G17" s="1"/>
      <c r="H17" s="19">
        <v>189</v>
      </c>
      <c r="I17" s="19">
        <v>174</v>
      </c>
      <c r="J17" s="5">
        <f t="shared" si="0"/>
        <v>48.710842361636011</v>
      </c>
      <c r="K17" s="4">
        <f t="shared" si="1"/>
        <v>74.409448818897644</v>
      </c>
      <c r="L17">
        <f t="shared" si="2"/>
        <v>6</v>
      </c>
      <c r="M17">
        <f t="shared" si="3"/>
        <v>2.4</v>
      </c>
      <c r="N17" t="str">
        <f t="shared" si="4"/>
        <v>6' 2.4"</v>
      </c>
      <c r="O17">
        <f t="shared" si="5"/>
        <v>384</v>
      </c>
      <c r="P17">
        <f t="shared" si="6"/>
        <v>8</v>
      </c>
      <c r="Q17">
        <f t="shared" si="6"/>
        <v>10</v>
      </c>
      <c r="R17">
        <f t="shared" si="6"/>
        <v>18</v>
      </c>
      <c r="S17">
        <f>_xlfn.XLOOKUP(A17,'November 2022 Data'!$A$4:$A$48,'November 2022 Data'!$H$4:$H$48,,0)</f>
        <v>174</v>
      </c>
      <c r="T17">
        <f t="shared" si="7"/>
        <v>0</v>
      </c>
      <c r="V17">
        <v>10</v>
      </c>
      <c r="W17">
        <f t="shared" si="8"/>
        <v>0</v>
      </c>
    </row>
    <row r="18" spans="1:23">
      <c r="A18" s="1" t="s">
        <v>133</v>
      </c>
      <c r="C18" t="s">
        <v>132</v>
      </c>
      <c r="D18" s="1" t="s">
        <v>137</v>
      </c>
      <c r="E18" s="1" t="s">
        <v>137</v>
      </c>
      <c r="F18" s="1">
        <f>_xlfn.XLOOKUP(E18,'rank lookup'!$A$1:$A$21,'rank lookup'!$B$1:$B$21,,0)</f>
        <v>7</v>
      </c>
      <c r="G18" s="1"/>
      <c r="H18" s="19">
        <v>171</v>
      </c>
      <c r="I18" s="19">
        <v>117</v>
      </c>
      <c r="J18" s="5">
        <f t="shared" si="0"/>
        <v>40.012311480455523</v>
      </c>
      <c r="K18" s="4">
        <f t="shared" si="1"/>
        <v>67.322834645669289</v>
      </c>
      <c r="L18">
        <f t="shared" si="2"/>
        <v>5</v>
      </c>
      <c r="M18">
        <f t="shared" si="3"/>
        <v>7.3</v>
      </c>
      <c r="N18" t="str">
        <f t="shared" si="4"/>
        <v>5' 7.3"</v>
      </c>
      <c r="O18">
        <f t="shared" si="5"/>
        <v>258</v>
      </c>
      <c r="P18">
        <f t="shared" si="6"/>
        <v>42</v>
      </c>
      <c r="Q18">
        <f t="shared" si="6"/>
        <v>42</v>
      </c>
      <c r="R18">
        <f t="shared" si="6"/>
        <v>42</v>
      </c>
      <c r="S18">
        <f>_xlfn.XLOOKUP(A18,'November 2022 Data'!$A$4:$A$48,'November 2022 Data'!$H$4:$H$48,,0)</f>
        <v>114</v>
      </c>
      <c r="T18">
        <f t="shared" si="7"/>
        <v>3</v>
      </c>
      <c r="V18">
        <v>11</v>
      </c>
      <c r="W18">
        <f t="shared" si="8"/>
        <v>1</v>
      </c>
    </row>
    <row r="19" spans="1:23">
      <c r="A19" s="1" t="s">
        <v>93</v>
      </c>
      <c r="B19" s="1">
        <v>1</v>
      </c>
      <c r="C19" s="1" t="s">
        <v>42</v>
      </c>
      <c r="D19" s="1" t="s">
        <v>143</v>
      </c>
      <c r="E19" s="1" t="s">
        <v>137</v>
      </c>
      <c r="F19" s="1">
        <f>_xlfn.XLOOKUP(E19,'rank lookup'!$A$1:$A$21,'rank lookup'!$B$1:$B$21,,0)</f>
        <v>7</v>
      </c>
      <c r="G19" s="1"/>
      <c r="H19" s="19">
        <v>187</v>
      </c>
      <c r="I19" s="19">
        <v>159</v>
      </c>
      <c r="J19" s="5">
        <f t="shared" si="0"/>
        <v>45.468843833109325</v>
      </c>
      <c r="K19" s="4">
        <f t="shared" si="1"/>
        <v>73.622047244094489</v>
      </c>
      <c r="L19">
        <f t="shared" si="2"/>
        <v>6</v>
      </c>
      <c r="M19">
        <f t="shared" si="3"/>
        <v>1.6</v>
      </c>
      <c r="N19" t="str">
        <f t="shared" si="4"/>
        <v>6' 1.6"</v>
      </c>
      <c r="O19">
        <f t="shared" si="5"/>
        <v>351</v>
      </c>
      <c r="P19">
        <f t="shared" si="6"/>
        <v>14</v>
      </c>
      <c r="Q19">
        <f t="shared" si="6"/>
        <v>24</v>
      </c>
      <c r="R19">
        <f t="shared" si="6"/>
        <v>25</v>
      </c>
      <c r="S19">
        <f>_xlfn.XLOOKUP(A19,'November 2022 Data'!$A$4:$A$48,'November 2022 Data'!$H$4:$H$48,,0)</f>
        <v>151</v>
      </c>
      <c r="T19">
        <f t="shared" si="7"/>
        <v>8</v>
      </c>
      <c r="V19">
        <v>12</v>
      </c>
      <c r="W19">
        <f t="shared" si="8"/>
        <v>0</v>
      </c>
    </row>
    <row r="20" spans="1:23">
      <c r="A20" s="1" t="s">
        <v>111</v>
      </c>
      <c r="B20" s="1"/>
      <c r="C20" s="1" t="s">
        <v>140</v>
      </c>
      <c r="D20" s="1" t="s">
        <v>139</v>
      </c>
      <c r="E20" s="1" t="s">
        <v>139</v>
      </c>
      <c r="F20" s="1">
        <f>_xlfn.XLOOKUP(E20,'rank lookup'!$A$1:$A$21,'rank lookup'!$B$1:$B$21,,0)</f>
        <v>8</v>
      </c>
      <c r="G20" s="1"/>
      <c r="H20" s="19">
        <v>182</v>
      </c>
      <c r="I20" s="19">
        <v>144</v>
      </c>
      <c r="J20" s="5">
        <f t="shared" si="0"/>
        <v>43.473010505977541</v>
      </c>
      <c r="K20" s="4">
        <f t="shared" si="1"/>
        <v>71.653543307086608</v>
      </c>
      <c r="L20">
        <f t="shared" si="2"/>
        <v>5</v>
      </c>
      <c r="M20">
        <f t="shared" si="3"/>
        <v>11.7</v>
      </c>
      <c r="N20" t="str">
        <f t="shared" si="4"/>
        <v>5' 11.7"</v>
      </c>
      <c r="O20">
        <f t="shared" si="5"/>
        <v>317</v>
      </c>
      <c r="P20">
        <f t="shared" si="6"/>
        <v>31</v>
      </c>
      <c r="Q20">
        <f t="shared" si="6"/>
        <v>35</v>
      </c>
      <c r="R20">
        <f t="shared" si="6"/>
        <v>32</v>
      </c>
      <c r="S20">
        <f>_xlfn.XLOOKUP(A20,'November 2022 Data'!$A$4:$A$48,'November 2022 Data'!$H$4:$H$48,,0)</f>
        <v>141</v>
      </c>
      <c r="T20">
        <f t="shared" si="7"/>
        <v>3</v>
      </c>
      <c r="V20">
        <v>13</v>
      </c>
      <c r="W20">
        <f t="shared" si="8"/>
        <v>0</v>
      </c>
    </row>
    <row r="21" spans="1:23">
      <c r="A21" t="s">
        <v>144</v>
      </c>
      <c r="C21" s="1" t="s">
        <v>145</v>
      </c>
      <c r="D21" s="1" t="s">
        <v>140</v>
      </c>
      <c r="E21" s="1" t="s">
        <v>139</v>
      </c>
      <c r="F21" s="1">
        <f>_xlfn.XLOOKUP(E21,'rank lookup'!$A$1:$A$21,'rank lookup'!$B$1:$B$21,,0)</f>
        <v>8</v>
      </c>
      <c r="G21" s="1"/>
      <c r="H21" s="19">
        <v>184</v>
      </c>
      <c r="I21" s="19">
        <v>155</v>
      </c>
      <c r="J21" s="5">
        <f t="shared" si="0"/>
        <v>45.782136105860118</v>
      </c>
      <c r="K21" s="4">
        <f t="shared" si="1"/>
        <v>72.440944881889763</v>
      </c>
      <c r="L21">
        <f t="shared" si="2"/>
        <v>6</v>
      </c>
      <c r="M21">
        <f t="shared" si="3"/>
        <v>0.4</v>
      </c>
      <c r="N21" t="str">
        <f t="shared" si="4"/>
        <v>6' 0.4"</v>
      </c>
      <c r="O21">
        <f t="shared" si="5"/>
        <v>342</v>
      </c>
      <c r="P21">
        <f t="shared" si="6"/>
        <v>22</v>
      </c>
      <c r="Q21">
        <f t="shared" si="6"/>
        <v>29</v>
      </c>
      <c r="R21">
        <f t="shared" si="6"/>
        <v>23</v>
      </c>
      <c r="S21">
        <f>_xlfn.XLOOKUP(A21,'November 2022 Data'!$A$4:$A$48,'November 2022 Data'!$H$4:$H$48,,0)</f>
        <v>148</v>
      </c>
      <c r="T21">
        <f t="shared" si="7"/>
        <v>7</v>
      </c>
      <c r="V21">
        <v>14</v>
      </c>
      <c r="W21">
        <f t="shared" si="8"/>
        <v>0</v>
      </c>
    </row>
    <row r="22" spans="1:23">
      <c r="A22" s="1" t="s">
        <v>138</v>
      </c>
      <c r="C22" s="1" t="s">
        <v>139</v>
      </c>
      <c r="D22" s="1" t="s">
        <v>141</v>
      </c>
      <c r="E22" s="1" t="s">
        <v>140</v>
      </c>
      <c r="F22" s="1">
        <f>_xlfn.XLOOKUP(E22,'rank lookup'!$A$1:$A$21,'rank lookup'!$B$1:$B$21,,0)</f>
        <v>9</v>
      </c>
      <c r="G22" s="1"/>
      <c r="H22" s="19">
        <v>184</v>
      </c>
      <c r="I22" s="19">
        <v>179</v>
      </c>
      <c r="J22" s="5">
        <f t="shared" si="0"/>
        <v>52.870982986767487</v>
      </c>
      <c r="K22" s="4">
        <f t="shared" si="1"/>
        <v>72.440944881889763</v>
      </c>
      <c r="L22">
        <f t="shared" si="2"/>
        <v>6</v>
      </c>
      <c r="M22">
        <f t="shared" si="3"/>
        <v>0.4</v>
      </c>
      <c r="N22" t="str">
        <f t="shared" si="4"/>
        <v>6' 0.4"</v>
      </c>
      <c r="O22">
        <f t="shared" si="5"/>
        <v>395</v>
      </c>
      <c r="P22">
        <f t="shared" si="6"/>
        <v>22</v>
      </c>
      <c r="Q22">
        <f t="shared" si="6"/>
        <v>8</v>
      </c>
      <c r="R22">
        <f t="shared" si="6"/>
        <v>7</v>
      </c>
      <c r="S22">
        <f>_xlfn.XLOOKUP(A22,'November 2022 Data'!$A$4:$A$48,'November 2022 Data'!$H$4:$H$48,,0)</f>
        <v>170</v>
      </c>
      <c r="T22">
        <f t="shared" si="7"/>
        <v>9</v>
      </c>
      <c r="V22">
        <v>15</v>
      </c>
      <c r="W22">
        <f t="shared" si="8"/>
        <v>0</v>
      </c>
    </row>
    <row r="23" spans="1:23">
      <c r="A23" t="s">
        <v>149</v>
      </c>
      <c r="C23" s="1" t="s">
        <v>148</v>
      </c>
      <c r="D23" s="1" t="s">
        <v>141</v>
      </c>
      <c r="E23" s="1" t="s">
        <v>140</v>
      </c>
      <c r="F23" s="1">
        <f>_xlfn.XLOOKUP(E23,'rank lookup'!$A$1:$A$21,'rank lookup'!$B$1:$B$21,,0)</f>
        <v>9</v>
      </c>
      <c r="G23" s="1"/>
      <c r="H23" s="20">
        <v>187</v>
      </c>
      <c r="I23" s="19">
        <v>157</v>
      </c>
      <c r="J23" s="5">
        <f t="shared" si="0"/>
        <v>44.89690869055449</v>
      </c>
      <c r="K23" s="4">
        <f t="shared" si="1"/>
        <v>73.622047244094489</v>
      </c>
      <c r="L23">
        <f t="shared" si="2"/>
        <v>6</v>
      </c>
      <c r="M23">
        <f t="shared" si="3"/>
        <v>1.6</v>
      </c>
      <c r="N23" t="str">
        <f t="shared" si="4"/>
        <v>6' 1.6"</v>
      </c>
      <c r="O23">
        <f t="shared" si="5"/>
        <v>346</v>
      </c>
      <c r="P23">
        <f t="shared" si="6"/>
        <v>14</v>
      </c>
      <c r="Q23">
        <f t="shared" si="6"/>
        <v>26</v>
      </c>
      <c r="R23">
        <f t="shared" si="6"/>
        <v>27</v>
      </c>
      <c r="S23">
        <f>_xlfn.XLOOKUP(A23,'November 2022 Data'!$A$4:$A$48,'November 2022 Data'!$H$4:$H$48,,0)</f>
        <v>154</v>
      </c>
      <c r="T23">
        <f t="shared" si="7"/>
        <v>3</v>
      </c>
      <c r="V23">
        <v>16</v>
      </c>
      <c r="W23">
        <f t="shared" si="8"/>
        <v>0</v>
      </c>
    </row>
    <row r="24" spans="1:23">
      <c r="A24" s="1" t="s">
        <v>103</v>
      </c>
      <c r="B24" s="1"/>
      <c r="C24" s="1" t="s">
        <v>142</v>
      </c>
      <c r="D24" s="1" t="s">
        <v>140</v>
      </c>
      <c r="E24" s="1" t="s">
        <v>141</v>
      </c>
      <c r="F24" s="1">
        <f>_xlfn.XLOOKUP(E24,'rank lookup'!$A$1:$A$21,'rank lookup'!$B$1:$B$21,,0)</f>
        <v>10</v>
      </c>
      <c r="G24" s="1"/>
      <c r="H24" s="19">
        <v>184</v>
      </c>
      <c r="I24" s="19">
        <v>163</v>
      </c>
      <c r="J24" s="5">
        <f t="shared" si="0"/>
        <v>48.145085066162572</v>
      </c>
      <c r="K24" s="4">
        <f t="shared" si="1"/>
        <v>72.440944881889763</v>
      </c>
      <c r="L24">
        <f t="shared" si="2"/>
        <v>6</v>
      </c>
      <c r="M24">
        <f t="shared" si="3"/>
        <v>0.4</v>
      </c>
      <c r="N24" t="str">
        <f t="shared" si="4"/>
        <v>6' 0.4"</v>
      </c>
      <c r="O24">
        <f t="shared" si="5"/>
        <v>359</v>
      </c>
      <c r="P24">
        <f t="shared" si="6"/>
        <v>22</v>
      </c>
      <c r="Q24">
        <f t="shared" si="6"/>
        <v>19</v>
      </c>
      <c r="R24">
        <f t="shared" si="6"/>
        <v>22</v>
      </c>
      <c r="S24">
        <f>_xlfn.XLOOKUP(A24,'November 2022 Data'!$A$4:$A$48,'November 2022 Data'!$H$4:$H$48,,0)</f>
        <v>161</v>
      </c>
      <c r="T24">
        <f t="shared" si="7"/>
        <v>2</v>
      </c>
    </row>
    <row r="25" spans="1:23">
      <c r="A25" s="1" t="s">
        <v>97</v>
      </c>
      <c r="B25" s="1"/>
      <c r="C25" s="1" t="s">
        <v>143</v>
      </c>
      <c r="D25" s="1" t="s">
        <v>135</v>
      </c>
      <c r="E25" s="1" t="s">
        <v>141</v>
      </c>
      <c r="F25" s="1">
        <f>_xlfn.XLOOKUP(E25,'rank lookup'!$A$1:$A$21,'rank lookup'!$B$1:$B$21,,0)</f>
        <v>10</v>
      </c>
      <c r="G25" s="1"/>
      <c r="H25" s="19">
        <v>189</v>
      </c>
      <c r="I25" s="19">
        <v>157</v>
      </c>
      <c r="J25" s="5">
        <f t="shared" si="0"/>
        <v>43.951737073430195</v>
      </c>
      <c r="K25" s="4">
        <f t="shared" si="1"/>
        <v>74.409448818897644</v>
      </c>
      <c r="L25">
        <f t="shared" si="2"/>
        <v>6</v>
      </c>
      <c r="M25">
        <f t="shared" si="3"/>
        <v>2.4</v>
      </c>
      <c r="N25" t="str">
        <f t="shared" si="4"/>
        <v>6' 2.4"</v>
      </c>
      <c r="O25">
        <f t="shared" si="5"/>
        <v>346</v>
      </c>
      <c r="P25">
        <f t="shared" si="6"/>
        <v>8</v>
      </c>
      <c r="Q25">
        <f t="shared" si="6"/>
        <v>26</v>
      </c>
      <c r="R25">
        <f t="shared" si="6"/>
        <v>30</v>
      </c>
      <c r="S25">
        <f>_xlfn.XLOOKUP(A25,'November 2022 Data'!$A$4:$A$48,'November 2022 Data'!$H$4:$H$48,,0)</f>
        <v>154</v>
      </c>
      <c r="T25">
        <f t="shared" si="7"/>
        <v>3</v>
      </c>
    </row>
    <row r="26" spans="1:23">
      <c r="A26" s="1" t="s">
        <v>89</v>
      </c>
      <c r="B26" s="1">
        <v>1</v>
      </c>
      <c r="C26" s="1" t="s">
        <v>42</v>
      </c>
      <c r="D26" s="1" t="s">
        <v>136</v>
      </c>
      <c r="E26" s="1" t="s">
        <v>135</v>
      </c>
      <c r="F26" s="1">
        <f>_xlfn.XLOOKUP(E26,'rank lookup'!$A$1:$A$21,'rank lookup'!$B$1:$B$21,,0)</f>
        <v>11</v>
      </c>
      <c r="G26" s="1"/>
      <c r="H26" s="19">
        <v>190</v>
      </c>
      <c r="I26" s="19">
        <v>212</v>
      </c>
      <c r="J26" s="5">
        <f t="shared" si="0"/>
        <v>58.725761772853183</v>
      </c>
      <c r="K26" s="4">
        <f t="shared" si="1"/>
        <v>74.803149606299215</v>
      </c>
      <c r="L26">
        <f t="shared" si="2"/>
        <v>6</v>
      </c>
      <c r="M26">
        <f t="shared" si="3"/>
        <v>2.8</v>
      </c>
      <c r="N26" t="str">
        <f t="shared" si="4"/>
        <v>6' 2.8"</v>
      </c>
      <c r="O26">
        <f t="shared" si="5"/>
        <v>467</v>
      </c>
      <c r="P26">
        <f t="shared" si="6"/>
        <v>5</v>
      </c>
      <c r="Q26">
        <f t="shared" si="6"/>
        <v>1</v>
      </c>
      <c r="R26">
        <f t="shared" si="6"/>
        <v>2</v>
      </c>
      <c r="S26">
        <f>_xlfn.XLOOKUP(A26,'November 2022 Data'!$A$4:$A$48,'November 2022 Data'!$H$4:$H$48,,0)</f>
        <v>212</v>
      </c>
      <c r="T26">
        <f t="shared" si="7"/>
        <v>0</v>
      </c>
    </row>
    <row r="27" spans="1:23">
      <c r="A27" s="1" t="s">
        <v>121</v>
      </c>
      <c r="B27" s="1"/>
      <c r="C27" s="1" t="s">
        <v>137</v>
      </c>
      <c r="D27" s="1" t="s">
        <v>137</v>
      </c>
      <c r="E27" s="1" t="s">
        <v>135</v>
      </c>
      <c r="F27" s="1">
        <f>_xlfn.XLOOKUP(E27,'rank lookup'!$A$1:$A$21,'rank lookup'!$B$1:$B$21,,0)</f>
        <v>11</v>
      </c>
      <c r="G27" s="1"/>
      <c r="H27" s="19">
        <v>175</v>
      </c>
      <c r="I27" s="19">
        <v>148</v>
      </c>
      <c r="J27" s="5">
        <f t="shared" si="0"/>
        <v>48.326530612244902</v>
      </c>
      <c r="K27" s="4">
        <f t="shared" si="1"/>
        <v>68.897637795275585</v>
      </c>
      <c r="L27">
        <f t="shared" si="2"/>
        <v>5</v>
      </c>
      <c r="M27">
        <f t="shared" si="3"/>
        <v>8.9</v>
      </c>
      <c r="N27" t="str">
        <f t="shared" si="4"/>
        <v>5' 8.9"</v>
      </c>
      <c r="O27">
        <f t="shared" si="5"/>
        <v>326</v>
      </c>
      <c r="P27">
        <f t="shared" si="6"/>
        <v>39</v>
      </c>
      <c r="Q27">
        <f t="shared" si="6"/>
        <v>31</v>
      </c>
      <c r="R27">
        <f t="shared" si="6"/>
        <v>20</v>
      </c>
      <c r="S27">
        <f>_xlfn.XLOOKUP(A27,'November 2022 Data'!$A$4:$A$48,'November 2022 Data'!$H$4:$H$48,,0)</f>
        <v>151</v>
      </c>
      <c r="T27">
        <f t="shared" si="7"/>
        <v>-3</v>
      </c>
    </row>
    <row r="28" spans="1:23">
      <c r="A28" s="1" t="s">
        <v>120</v>
      </c>
      <c r="B28" s="1"/>
      <c r="C28" s="1" t="s">
        <v>135</v>
      </c>
      <c r="D28" s="1" t="s">
        <v>147</v>
      </c>
      <c r="E28" s="1" t="s">
        <v>142</v>
      </c>
      <c r="F28" s="1">
        <f>_xlfn.XLOOKUP(E28,'rank lookup'!$A$1:$A$21,'rank lookup'!$B$1:$B$21,,0)</f>
        <v>12</v>
      </c>
      <c r="G28" s="1"/>
      <c r="H28" s="19">
        <v>178</v>
      </c>
      <c r="I28" s="19">
        <v>165</v>
      </c>
      <c r="J28" s="5">
        <f t="shared" si="0"/>
        <v>52.076757985102894</v>
      </c>
      <c r="K28" s="4">
        <f t="shared" si="1"/>
        <v>70.078740157480311</v>
      </c>
      <c r="L28">
        <f t="shared" si="2"/>
        <v>5</v>
      </c>
      <c r="M28">
        <f t="shared" si="3"/>
        <v>10.1</v>
      </c>
      <c r="N28" t="str">
        <f t="shared" si="4"/>
        <v>5' 10.1"</v>
      </c>
      <c r="O28">
        <f t="shared" si="5"/>
        <v>364</v>
      </c>
      <c r="P28">
        <f t="shared" si="6"/>
        <v>35</v>
      </c>
      <c r="Q28">
        <f t="shared" si="6"/>
        <v>16</v>
      </c>
      <c r="R28">
        <f t="shared" si="6"/>
        <v>9</v>
      </c>
      <c r="S28">
        <f>_xlfn.XLOOKUP(A28,'November 2022 Data'!$A$4:$A$48,'November 2022 Data'!$H$4:$H$48,,0)</f>
        <v>162</v>
      </c>
      <c r="T28">
        <f t="shared" si="7"/>
        <v>3</v>
      </c>
    </row>
    <row r="29" spans="1:23">
      <c r="A29" s="1" t="s">
        <v>88</v>
      </c>
      <c r="B29" s="1"/>
      <c r="C29" s="1" t="s">
        <v>150</v>
      </c>
      <c r="D29" s="1" t="s">
        <v>150</v>
      </c>
      <c r="E29" s="1" t="s">
        <v>142</v>
      </c>
      <c r="F29" s="1">
        <f>_xlfn.XLOOKUP(E29,'rank lookup'!$A$1:$A$21,'rank lookup'!$B$1:$B$21,,0)</f>
        <v>12</v>
      </c>
      <c r="G29" s="1"/>
      <c r="H29" s="19">
        <v>189</v>
      </c>
      <c r="I29" s="19">
        <v>179</v>
      </c>
      <c r="J29" s="5">
        <f t="shared" si="0"/>
        <v>50.110579211108309</v>
      </c>
      <c r="K29" s="4">
        <f t="shared" si="1"/>
        <v>74.409448818897644</v>
      </c>
      <c r="L29">
        <f t="shared" si="2"/>
        <v>6</v>
      </c>
      <c r="M29">
        <f t="shared" si="3"/>
        <v>2.4</v>
      </c>
      <c r="N29" t="str">
        <f t="shared" si="4"/>
        <v>6' 2.4"</v>
      </c>
      <c r="O29">
        <f t="shared" si="5"/>
        <v>395</v>
      </c>
      <c r="P29">
        <f t="shared" si="6"/>
        <v>8</v>
      </c>
      <c r="Q29">
        <f t="shared" si="6"/>
        <v>8</v>
      </c>
      <c r="R29">
        <f t="shared" si="6"/>
        <v>11</v>
      </c>
      <c r="S29">
        <f>_xlfn.XLOOKUP(A29,'November 2022 Data'!$A$4:$A$48,'November 2022 Data'!$H$4:$H$48,,0)</f>
        <v>176</v>
      </c>
      <c r="T29">
        <f t="shared" si="7"/>
        <v>3</v>
      </c>
    </row>
    <row r="30" spans="1:23">
      <c r="A30" s="1" t="s">
        <v>99</v>
      </c>
      <c r="B30" s="1"/>
      <c r="C30" s="1" t="s">
        <v>141</v>
      </c>
      <c r="D30" s="1" t="s">
        <v>135</v>
      </c>
      <c r="E30" s="1" t="s">
        <v>143</v>
      </c>
      <c r="F30" s="1">
        <f>_xlfn.XLOOKUP(E30,'rank lookup'!$A$1:$A$21,'rank lookup'!$B$1:$B$21,,0)</f>
        <v>13</v>
      </c>
      <c r="G30" s="1"/>
      <c r="H30" s="19">
        <v>183</v>
      </c>
      <c r="I30" s="19">
        <v>150</v>
      </c>
      <c r="J30" s="5">
        <f t="shared" si="0"/>
        <v>44.790826838663442</v>
      </c>
      <c r="K30" s="4">
        <f t="shared" si="1"/>
        <v>72.047244094488192</v>
      </c>
      <c r="L30">
        <f t="shared" si="2"/>
        <v>6</v>
      </c>
      <c r="M30">
        <f t="shared" si="3"/>
        <v>0</v>
      </c>
      <c r="N30" t="str">
        <f t="shared" si="4"/>
        <v>6' 0"</v>
      </c>
      <c r="O30">
        <f t="shared" si="5"/>
        <v>331</v>
      </c>
      <c r="P30">
        <f t="shared" si="6"/>
        <v>27</v>
      </c>
      <c r="Q30">
        <f t="shared" si="6"/>
        <v>30</v>
      </c>
      <c r="R30">
        <f t="shared" si="6"/>
        <v>28</v>
      </c>
      <c r="S30">
        <f>_xlfn.XLOOKUP(A30,'November 2022 Data'!$A$4:$A$48,'November 2022 Data'!$H$4:$H$48,,0)</f>
        <v>149</v>
      </c>
      <c r="T30">
        <f t="shared" si="7"/>
        <v>1</v>
      </c>
    </row>
    <row r="31" spans="1:23">
      <c r="A31" s="1" t="s">
        <v>101</v>
      </c>
      <c r="B31" s="1"/>
      <c r="C31" s="1" t="s">
        <v>145</v>
      </c>
      <c r="D31" s="1" t="s">
        <v>143</v>
      </c>
      <c r="E31" s="1" t="s">
        <v>143</v>
      </c>
      <c r="F31" s="1">
        <f>_xlfn.XLOOKUP(E31,'rank lookup'!$A$1:$A$21,'rank lookup'!$B$1:$B$21,,0)</f>
        <v>13</v>
      </c>
      <c r="G31" s="1"/>
      <c r="H31" s="19">
        <v>184</v>
      </c>
      <c r="I31" s="19">
        <v>167</v>
      </c>
      <c r="J31" s="5">
        <f t="shared" si="0"/>
        <v>49.326559546313803</v>
      </c>
      <c r="K31" s="4">
        <f t="shared" si="1"/>
        <v>72.440944881889763</v>
      </c>
      <c r="L31">
        <f t="shared" si="2"/>
        <v>6</v>
      </c>
      <c r="M31">
        <f t="shared" si="3"/>
        <v>0.4</v>
      </c>
      <c r="N31" t="str">
        <f t="shared" si="4"/>
        <v>6' 0.4"</v>
      </c>
      <c r="O31">
        <f t="shared" si="5"/>
        <v>368</v>
      </c>
      <c r="P31">
        <f t="shared" si="6"/>
        <v>22</v>
      </c>
      <c r="Q31">
        <f t="shared" si="6"/>
        <v>15</v>
      </c>
      <c r="R31">
        <f t="shared" si="6"/>
        <v>15</v>
      </c>
      <c r="S31">
        <f>_xlfn.XLOOKUP(A31,'November 2022 Data'!$A$4:$A$48,'November 2022 Data'!$H$4:$H$48,,0)</f>
        <v>167</v>
      </c>
      <c r="T31">
        <f t="shared" si="7"/>
        <v>0</v>
      </c>
    </row>
    <row r="32" spans="1:23">
      <c r="A32" s="1" t="s">
        <v>91</v>
      </c>
      <c r="B32" s="1"/>
      <c r="C32" s="1" t="s">
        <v>135</v>
      </c>
      <c r="D32" s="1" t="s">
        <v>145</v>
      </c>
      <c r="E32" s="1" t="s">
        <v>145</v>
      </c>
      <c r="F32" s="1">
        <f>_xlfn.XLOOKUP(E32,'rank lookup'!$A$1:$A$21,'rank lookup'!$B$1:$B$21,,0)</f>
        <v>14</v>
      </c>
      <c r="G32" s="1"/>
      <c r="H32" s="19">
        <v>190</v>
      </c>
      <c r="I32" s="19">
        <v>184</v>
      </c>
      <c r="J32" s="5">
        <f t="shared" si="0"/>
        <v>50.969529085872573</v>
      </c>
      <c r="K32" s="4">
        <f t="shared" si="1"/>
        <v>74.803149606299215</v>
      </c>
      <c r="L32">
        <f t="shared" si="2"/>
        <v>6</v>
      </c>
      <c r="M32">
        <f t="shared" si="3"/>
        <v>2.8</v>
      </c>
      <c r="N32" t="str">
        <f t="shared" si="4"/>
        <v>6' 2.8"</v>
      </c>
      <c r="O32">
        <f t="shared" si="5"/>
        <v>406</v>
      </c>
      <c r="P32">
        <f t="shared" si="6"/>
        <v>5</v>
      </c>
      <c r="Q32">
        <f t="shared" si="6"/>
        <v>4</v>
      </c>
      <c r="R32">
        <f t="shared" si="6"/>
        <v>10</v>
      </c>
      <c r="S32">
        <f>_xlfn.XLOOKUP(A32,'November 2022 Data'!$A$4:$A$48,'November 2022 Data'!$H$4:$H$48,,0)</f>
        <v>186</v>
      </c>
      <c r="T32">
        <f t="shared" si="7"/>
        <v>-2</v>
      </c>
    </row>
    <row r="33" spans="1:20">
      <c r="A33" t="s">
        <v>155</v>
      </c>
      <c r="C33" s="1" t="s">
        <v>154</v>
      </c>
      <c r="D33" s="1" t="s">
        <v>154</v>
      </c>
      <c r="E33" s="1" t="s">
        <v>145</v>
      </c>
      <c r="F33" s="1">
        <f>_xlfn.XLOOKUP(E33,'rank lookup'!$A$1:$A$21,'rank lookup'!$B$1:$B$21,,0)</f>
        <v>14</v>
      </c>
      <c r="G33" s="1"/>
      <c r="H33" s="19">
        <v>178</v>
      </c>
      <c r="I33" s="19">
        <v>138</v>
      </c>
      <c r="J33" s="5">
        <f t="shared" si="0"/>
        <v>43.555106678449697</v>
      </c>
      <c r="K33" s="4">
        <f t="shared" si="1"/>
        <v>70.078740157480311</v>
      </c>
      <c r="L33">
        <f t="shared" si="2"/>
        <v>5</v>
      </c>
      <c r="M33">
        <f t="shared" si="3"/>
        <v>10.1</v>
      </c>
      <c r="N33" t="str">
        <f t="shared" si="4"/>
        <v>5' 10.1"</v>
      </c>
      <c r="O33">
        <f t="shared" si="5"/>
        <v>304</v>
      </c>
      <c r="P33">
        <f t="shared" si="6"/>
        <v>35</v>
      </c>
      <c r="Q33">
        <f t="shared" si="6"/>
        <v>37</v>
      </c>
      <c r="R33">
        <f t="shared" si="6"/>
        <v>31</v>
      </c>
      <c r="S33">
        <f>_xlfn.XLOOKUP(A33,'November 2022 Data'!$A$4:$A$48,'November 2022 Data'!$H$4:$H$48,,0)</f>
        <v>135</v>
      </c>
      <c r="T33">
        <f t="shared" si="7"/>
        <v>3</v>
      </c>
    </row>
    <row r="34" spans="1:20">
      <c r="A34" s="1" t="s">
        <v>87</v>
      </c>
      <c r="B34" s="1">
        <v>1</v>
      </c>
      <c r="C34" s="1" t="s">
        <v>142</v>
      </c>
      <c r="D34" s="1" t="s">
        <v>142</v>
      </c>
      <c r="E34" s="1" t="s">
        <v>147</v>
      </c>
      <c r="F34" s="1">
        <f>_xlfn.XLOOKUP(E34,'rank lookup'!$A$1:$A$21,'rank lookup'!$B$1:$B$21,,0)</f>
        <v>15</v>
      </c>
      <c r="G34" s="1"/>
      <c r="H34" s="19">
        <v>192</v>
      </c>
      <c r="I34" s="19">
        <v>182</v>
      </c>
      <c r="J34" s="5">
        <f t="shared" si="0"/>
        <v>49.370659722222221</v>
      </c>
      <c r="K34" s="4">
        <f t="shared" si="1"/>
        <v>75.59055118110237</v>
      </c>
      <c r="L34">
        <f t="shared" si="2"/>
        <v>6</v>
      </c>
      <c r="M34">
        <f t="shared" si="3"/>
        <v>3.6</v>
      </c>
      <c r="N34" t="str">
        <f t="shared" si="4"/>
        <v>6' 3.6"</v>
      </c>
      <c r="O34">
        <f t="shared" si="5"/>
        <v>401</v>
      </c>
      <c r="P34">
        <f t="shared" si="6"/>
        <v>2</v>
      </c>
      <c r="Q34">
        <f t="shared" si="6"/>
        <v>5</v>
      </c>
      <c r="R34">
        <f t="shared" si="6"/>
        <v>14</v>
      </c>
      <c r="S34">
        <f>_xlfn.XLOOKUP(A34,'November 2022 Data'!$A$4:$A$48,'November 2022 Data'!$H$4:$H$48,,0)</f>
        <v>179</v>
      </c>
      <c r="T34">
        <f t="shared" si="7"/>
        <v>3</v>
      </c>
    </row>
    <row r="35" spans="1:20">
      <c r="A35" s="1" t="s">
        <v>110</v>
      </c>
      <c r="B35" s="1"/>
      <c r="C35" s="1" t="s">
        <v>151</v>
      </c>
      <c r="D35" s="1" t="s">
        <v>145</v>
      </c>
      <c r="E35" s="1" t="s">
        <v>147</v>
      </c>
      <c r="F35" s="1">
        <f>_xlfn.XLOOKUP(E35,'rank lookup'!$A$1:$A$21,'rank lookup'!$B$1:$B$21,,0)</f>
        <v>15</v>
      </c>
      <c r="G35" s="1"/>
      <c r="H35" s="19">
        <v>183</v>
      </c>
      <c r="I35" s="19">
        <v>137</v>
      </c>
      <c r="J35" s="5">
        <f t="shared" si="0"/>
        <v>40.908955179312613</v>
      </c>
      <c r="K35" s="4">
        <f t="shared" si="1"/>
        <v>72.047244094488192</v>
      </c>
      <c r="L35">
        <f t="shared" si="2"/>
        <v>6</v>
      </c>
      <c r="M35">
        <f t="shared" si="3"/>
        <v>0</v>
      </c>
      <c r="N35" t="str">
        <f t="shared" si="4"/>
        <v>6' 0"</v>
      </c>
      <c r="O35">
        <f t="shared" si="5"/>
        <v>302</v>
      </c>
      <c r="P35">
        <f t="shared" si="6"/>
        <v>27</v>
      </c>
      <c r="Q35">
        <f t="shared" si="6"/>
        <v>38</v>
      </c>
      <c r="R35">
        <f t="shared" si="6"/>
        <v>40</v>
      </c>
      <c r="S35">
        <f>_xlfn.XLOOKUP(A35,'November 2022 Data'!$A$4:$A$48,'November 2022 Data'!$H$4:$H$48,,0)</f>
        <v>135</v>
      </c>
      <c r="T35">
        <f t="shared" si="7"/>
        <v>2</v>
      </c>
    </row>
    <row r="36" spans="1:20">
      <c r="A36" s="1" t="s">
        <v>90</v>
      </c>
      <c r="B36" s="1"/>
      <c r="C36" s="1" t="s">
        <v>148</v>
      </c>
      <c r="D36" s="1" t="s">
        <v>150</v>
      </c>
      <c r="E36" s="1" t="s">
        <v>148</v>
      </c>
      <c r="F36" s="1">
        <f>_xlfn.XLOOKUP(E36,'rank lookup'!$A$1:$A$21,'rank lookup'!$B$1:$B$21,,0)</f>
        <v>16</v>
      </c>
      <c r="G36" s="1"/>
      <c r="H36" s="19">
        <v>189</v>
      </c>
      <c r="I36" s="19">
        <v>161</v>
      </c>
      <c r="J36" s="5">
        <f t="shared" si="0"/>
        <v>45.071526553008034</v>
      </c>
      <c r="K36" s="4">
        <f t="shared" si="1"/>
        <v>74.409448818897644</v>
      </c>
      <c r="L36">
        <f t="shared" si="2"/>
        <v>6</v>
      </c>
      <c r="M36">
        <f t="shared" si="3"/>
        <v>2.4</v>
      </c>
      <c r="N36" t="str">
        <f t="shared" si="4"/>
        <v>6' 2.4"</v>
      </c>
      <c r="O36">
        <f t="shared" si="5"/>
        <v>355</v>
      </c>
      <c r="P36">
        <f t="shared" si="6"/>
        <v>8</v>
      </c>
      <c r="Q36">
        <f t="shared" si="6"/>
        <v>23</v>
      </c>
      <c r="R36">
        <f t="shared" si="6"/>
        <v>26</v>
      </c>
      <c r="S36">
        <f>_xlfn.XLOOKUP(A36,'November 2022 Data'!$A$4:$A$48,'November 2022 Data'!$H$4:$H$48,,0)</f>
        <v>156</v>
      </c>
      <c r="T36">
        <f t="shared" si="7"/>
        <v>5</v>
      </c>
    </row>
    <row r="37" spans="1:20">
      <c r="A37" s="1" t="s">
        <v>167</v>
      </c>
      <c r="D37" t="s">
        <v>152</v>
      </c>
      <c r="E37" t="s">
        <v>148</v>
      </c>
      <c r="F37" s="1">
        <f>_xlfn.XLOOKUP(E37,'rank lookup'!$A$1:$A$21,'rank lookup'!$B$1:$B$21,,0)</f>
        <v>16</v>
      </c>
      <c r="H37" s="19">
        <v>193</v>
      </c>
      <c r="I37" s="19">
        <v>156</v>
      </c>
      <c r="J37" s="5">
        <f t="shared" si="0"/>
        <v>41.880318934736501</v>
      </c>
      <c r="K37" s="4">
        <f t="shared" si="1"/>
        <v>75.984251968503941</v>
      </c>
      <c r="L37">
        <f t="shared" si="2"/>
        <v>6</v>
      </c>
      <c r="M37">
        <f t="shared" si="3"/>
        <v>4</v>
      </c>
      <c r="N37" t="str">
        <f t="shared" si="4"/>
        <v>6' 4"</v>
      </c>
      <c r="O37">
        <f t="shared" si="5"/>
        <v>344</v>
      </c>
      <c r="P37">
        <f t="shared" si="6"/>
        <v>1</v>
      </c>
      <c r="Q37">
        <f t="shared" si="6"/>
        <v>28</v>
      </c>
      <c r="R37">
        <f t="shared" si="6"/>
        <v>36</v>
      </c>
      <c r="S37">
        <f>_xlfn.XLOOKUP(A37,'November 2022 Data'!$A$4:$A$48,'November 2022 Data'!$H$4:$H$48,,0)</f>
        <v>155</v>
      </c>
      <c r="T37">
        <f t="shared" si="7"/>
        <v>1</v>
      </c>
    </row>
    <row r="38" spans="1:20">
      <c r="A38" t="s">
        <v>146</v>
      </c>
      <c r="C38" s="1" t="s">
        <v>147</v>
      </c>
      <c r="D38" s="1" t="s">
        <v>147</v>
      </c>
      <c r="E38" s="1" t="s">
        <v>150</v>
      </c>
      <c r="F38" s="1">
        <f>_xlfn.XLOOKUP(E38,'rank lookup'!$A$1:$A$21,'rank lookup'!$B$1:$B$21,,0)</f>
        <v>17</v>
      </c>
      <c r="G38" s="1"/>
      <c r="H38" s="19">
        <v>189</v>
      </c>
      <c r="I38" s="19">
        <v>163</v>
      </c>
      <c r="J38" s="5">
        <f t="shared" si="0"/>
        <v>45.631421292796958</v>
      </c>
      <c r="K38" s="4">
        <f t="shared" si="1"/>
        <v>74.409448818897644</v>
      </c>
      <c r="L38">
        <f t="shared" si="2"/>
        <v>6</v>
      </c>
      <c r="M38">
        <f t="shared" si="3"/>
        <v>2.4</v>
      </c>
      <c r="N38" t="str">
        <f t="shared" si="4"/>
        <v>6' 2.4"</v>
      </c>
      <c r="O38">
        <f t="shared" si="5"/>
        <v>359</v>
      </c>
      <c r="P38">
        <f t="shared" si="6"/>
        <v>8</v>
      </c>
      <c r="Q38">
        <f t="shared" si="6"/>
        <v>19</v>
      </c>
      <c r="R38">
        <f t="shared" si="6"/>
        <v>24</v>
      </c>
      <c r="S38">
        <f>_xlfn.XLOOKUP(A38,'November 2022 Data'!$A$4:$A$48,'November 2022 Data'!$H$4:$H$48,,0)</f>
        <v>158</v>
      </c>
      <c r="T38">
        <f t="shared" si="7"/>
        <v>5</v>
      </c>
    </row>
    <row r="39" spans="1:20">
      <c r="A39" s="1" t="s">
        <v>122</v>
      </c>
      <c r="B39" s="1"/>
      <c r="C39" s="1" t="s">
        <v>143</v>
      </c>
      <c r="D39" s="1" t="s">
        <v>148</v>
      </c>
      <c r="E39" s="1" t="s">
        <v>150</v>
      </c>
      <c r="F39" s="1">
        <f>_xlfn.XLOOKUP(E39,'rank lookup'!$A$1:$A$21,'rank lookup'!$B$1:$B$21,,0)</f>
        <v>17</v>
      </c>
      <c r="G39" s="1"/>
      <c r="H39" s="19">
        <v>176</v>
      </c>
      <c r="I39" s="19">
        <v>128</v>
      </c>
      <c r="J39" s="5">
        <f t="shared" si="0"/>
        <v>41.32231404958678</v>
      </c>
      <c r="K39" s="4">
        <f t="shared" si="1"/>
        <v>69.29133858267717</v>
      </c>
      <c r="L39">
        <f t="shared" si="2"/>
        <v>5</v>
      </c>
      <c r="M39">
        <f t="shared" si="3"/>
        <v>9.3000000000000007</v>
      </c>
      <c r="N39" t="str">
        <f t="shared" si="4"/>
        <v>5' 9.3"</v>
      </c>
      <c r="O39">
        <f t="shared" si="5"/>
        <v>282</v>
      </c>
      <c r="P39">
        <f t="shared" si="6"/>
        <v>38</v>
      </c>
      <c r="Q39">
        <f t="shared" si="6"/>
        <v>41</v>
      </c>
      <c r="R39">
        <f t="shared" si="6"/>
        <v>39</v>
      </c>
      <c r="S39">
        <f>_xlfn.XLOOKUP(A39,'November 2022 Data'!$A$4:$A$48,'November 2022 Data'!$H$4:$H$48,,0)</f>
        <v>131</v>
      </c>
      <c r="T39">
        <f t="shared" si="7"/>
        <v>-3</v>
      </c>
    </row>
    <row r="40" spans="1:20">
      <c r="A40" s="1" t="s">
        <v>98</v>
      </c>
      <c r="B40" s="1"/>
      <c r="C40" s="1" t="s">
        <v>150</v>
      </c>
      <c r="D40" s="1" t="s">
        <v>151</v>
      </c>
      <c r="E40" s="1" t="s">
        <v>151</v>
      </c>
      <c r="F40" s="1">
        <f>_xlfn.XLOOKUP(E40,'rank lookup'!$A$1:$A$21,'rank lookup'!$B$1:$B$21,,0)</f>
        <v>18</v>
      </c>
      <c r="G40" s="1"/>
      <c r="H40" s="19">
        <v>187</v>
      </c>
      <c r="I40" s="19">
        <v>146</v>
      </c>
      <c r="J40" s="5">
        <f t="shared" si="0"/>
        <v>41.751265406502903</v>
      </c>
      <c r="K40" s="4">
        <f t="shared" si="1"/>
        <v>73.622047244094489</v>
      </c>
      <c r="L40">
        <f t="shared" si="2"/>
        <v>6</v>
      </c>
      <c r="M40">
        <f t="shared" si="3"/>
        <v>1.6</v>
      </c>
      <c r="N40" t="str">
        <f t="shared" si="4"/>
        <v>6' 1.6"</v>
      </c>
      <c r="O40">
        <f t="shared" si="5"/>
        <v>322</v>
      </c>
      <c r="P40">
        <f t="shared" si="6"/>
        <v>14</v>
      </c>
      <c r="Q40">
        <f t="shared" si="6"/>
        <v>32</v>
      </c>
      <c r="R40">
        <f t="shared" si="6"/>
        <v>37</v>
      </c>
      <c r="S40">
        <f>_xlfn.XLOOKUP(A40,'November 2022 Data'!$A$4:$A$48,'November 2022 Data'!$H$4:$H$48,,0)</f>
        <v>145</v>
      </c>
      <c r="T40">
        <f t="shared" si="7"/>
        <v>1</v>
      </c>
    </row>
    <row r="41" spans="1:20">
      <c r="A41" s="1" t="s">
        <v>166</v>
      </c>
      <c r="D41" t="s">
        <v>151</v>
      </c>
      <c r="E41" s="1" t="s">
        <v>151</v>
      </c>
      <c r="F41" s="1">
        <f>_xlfn.XLOOKUP(E41,'rank lookup'!$A$1:$A$21,'rank lookup'!$B$1:$B$21,,0)</f>
        <v>18</v>
      </c>
      <c r="H41" s="19">
        <v>191</v>
      </c>
      <c r="I41" s="19">
        <v>162</v>
      </c>
      <c r="J41" s="5">
        <f t="shared" si="0"/>
        <v>44.40667744853485</v>
      </c>
      <c r="K41" s="4">
        <f t="shared" si="1"/>
        <v>75.196850393700785</v>
      </c>
      <c r="L41">
        <f t="shared" si="2"/>
        <v>6</v>
      </c>
      <c r="M41">
        <f t="shared" si="3"/>
        <v>3.2</v>
      </c>
      <c r="N41" t="str">
        <f t="shared" si="4"/>
        <v>6' 3.2"</v>
      </c>
      <c r="O41">
        <f t="shared" si="5"/>
        <v>357</v>
      </c>
      <c r="P41">
        <f t="shared" si="6"/>
        <v>4</v>
      </c>
      <c r="Q41">
        <f t="shared" si="6"/>
        <v>22</v>
      </c>
      <c r="R41">
        <f t="shared" si="6"/>
        <v>29</v>
      </c>
      <c r="S41">
        <f>_xlfn.XLOOKUP(A41,'November 2022 Data'!$A$4:$A$48,'November 2022 Data'!$H$4:$H$48,,0)</f>
        <v>157</v>
      </c>
      <c r="T41">
        <f t="shared" si="7"/>
        <v>5</v>
      </c>
    </row>
    <row r="42" spans="1:20">
      <c r="A42" s="1" t="s">
        <v>108</v>
      </c>
      <c r="B42" s="1"/>
      <c r="C42" s="1" t="s">
        <v>152</v>
      </c>
      <c r="D42" s="1" t="s">
        <v>170</v>
      </c>
      <c r="E42" s="1" t="s">
        <v>152</v>
      </c>
      <c r="F42" s="1">
        <f>_xlfn.XLOOKUP(E42,'rank lookup'!$A$1:$A$21,'rank lookup'!$B$1:$B$21,,0)</f>
        <v>19</v>
      </c>
      <c r="G42" s="1"/>
      <c r="H42" s="19">
        <v>184</v>
      </c>
      <c r="I42" s="19">
        <v>200</v>
      </c>
      <c r="J42" s="5">
        <f t="shared" si="0"/>
        <v>59.073724007561438</v>
      </c>
      <c r="K42" s="4">
        <f t="shared" si="1"/>
        <v>72.440944881889763</v>
      </c>
      <c r="L42">
        <f t="shared" si="2"/>
        <v>6</v>
      </c>
      <c r="M42">
        <f t="shared" si="3"/>
        <v>0.4</v>
      </c>
      <c r="N42" t="str">
        <f t="shared" si="4"/>
        <v>6' 0.4"</v>
      </c>
      <c r="O42">
        <f t="shared" si="5"/>
        <v>441</v>
      </c>
      <c r="P42">
        <f t="shared" si="6"/>
        <v>22</v>
      </c>
      <c r="Q42">
        <f t="shared" si="6"/>
        <v>2</v>
      </c>
      <c r="R42">
        <f t="shared" si="6"/>
        <v>1</v>
      </c>
      <c r="S42">
        <f>_xlfn.XLOOKUP(A42,'November 2022 Data'!$A$4:$A$48,'November 2022 Data'!$H$4:$H$48,,0)</f>
        <v>200</v>
      </c>
      <c r="T42">
        <f t="shared" si="7"/>
        <v>0</v>
      </c>
    </row>
    <row r="43" spans="1:20">
      <c r="A43" t="s">
        <v>153</v>
      </c>
      <c r="C43" s="1" t="s">
        <v>154</v>
      </c>
      <c r="D43" s="1" t="s">
        <v>170</v>
      </c>
      <c r="E43" s="1" t="s">
        <v>152</v>
      </c>
      <c r="F43" s="1">
        <f>_xlfn.XLOOKUP(E43,'rank lookup'!$A$1:$A$21,'rank lookup'!$B$1:$B$21,,0)</f>
        <v>19</v>
      </c>
      <c r="G43" s="1"/>
      <c r="H43" s="19">
        <v>190</v>
      </c>
      <c r="I43" s="19">
        <v>197</v>
      </c>
      <c r="J43" s="5">
        <f t="shared" si="0"/>
        <v>54.57063711911357</v>
      </c>
      <c r="K43" s="4">
        <f t="shared" si="1"/>
        <v>74.803149606299215</v>
      </c>
      <c r="L43">
        <f t="shared" si="2"/>
        <v>6</v>
      </c>
      <c r="M43">
        <f t="shared" si="3"/>
        <v>2.8</v>
      </c>
      <c r="N43" t="str">
        <f t="shared" si="4"/>
        <v>6' 2.8"</v>
      </c>
      <c r="O43">
        <f t="shared" si="5"/>
        <v>434</v>
      </c>
      <c r="P43">
        <f t="shared" si="6"/>
        <v>5</v>
      </c>
      <c r="Q43">
        <f t="shared" si="6"/>
        <v>3</v>
      </c>
      <c r="R43">
        <f t="shared" si="6"/>
        <v>3</v>
      </c>
      <c r="S43">
        <f>_xlfn.XLOOKUP(A43,'November 2022 Data'!$A$4:$A$48,'November 2022 Data'!$H$4:$H$48,,0)</f>
        <v>197</v>
      </c>
      <c r="T43">
        <f t="shared" si="7"/>
        <v>0</v>
      </c>
    </row>
    <row r="44" spans="1:20">
      <c r="A44" s="1" t="s">
        <v>104</v>
      </c>
      <c r="B44" s="1"/>
      <c r="C44" s="1" t="s">
        <v>140</v>
      </c>
      <c r="D44" s="1" t="s">
        <v>142</v>
      </c>
      <c r="E44" s="1" t="s">
        <v>154</v>
      </c>
      <c r="F44" s="1">
        <f>_xlfn.XLOOKUP(E44,'rank lookup'!$A$1:$A$21,'rank lookup'!$B$1:$B$21,,0)</f>
        <v>20</v>
      </c>
      <c r="G44" s="1"/>
      <c r="H44" s="19">
        <v>186</v>
      </c>
      <c r="I44" s="19">
        <v>171</v>
      </c>
      <c r="J44" s="5">
        <f t="shared" si="0"/>
        <v>49.427679500520291</v>
      </c>
      <c r="K44" s="4">
        <f t="shared" si="1"/>
        <v>73.228346456692918</v>
      </c>
      <c r="L44">
        <f t="shared" si="2"/>
        <v>6</v>
      </c>
      <c r="M44">
        <f t="shared" si="3"/>
        <v>1.2</v>
      </c>
      <c r="N44" t="str">
        <f t="shared" si="4"/>
        <v>6' 1.2"</v>
      </c>
      <c r="O44">
        <f t="shared" si="5"/>
        <v>377</v>
      </c>
      <c r="P44">
        <f t="shared" si="6"/>
        <v>17</v>
      </c>
      <c r="Q44">
        <f t="shared" si="6"/>
        <v>13</v>
      </c>
      <c r="R44">
        <f t="shared" si="6"/>
        <v>13</v>
      </c>
      <c r="S44">
        <f>_xlfn.XLOOKUP(A44,'November 2022 Data'!$A$4:$A$48,'November 2022 Data'!$H$4:$H$48,,0)</f>
        <v>166</v>
      </c>
      <c r="T44">
        <f t="shared" si="7"/>
        <v>5</v>
      </c>
    </row>
    <row r="45" spans="1:20">
      <c r="A45" t="s">
        <v>119</v>
      </c>
      <c r="E45" s="1" t="s">
        <v>154</v>
      </c>
      <c r="F45" s="1">
        <f>_xlfn.XLOOKUP(E45,'rank lookup'!$A$1:$A$21,'rank lookup'!$B$1:$B$21,,0)</f>
        <v>20</v>
      </c>
      <c r="H45" s="19">
        <v>177</v>
      </c>
      <c r="I45" s="19">
        <v>169</v>
      </c>
      <c r="J45" s="5">
        <f t="shared" si="0"/>
        <v>53.943630502090713</v>
      </c>
      <c r="K45" s="4">
        <f t="shared" si="1"/>
        <v>69.685039370078741</v>
      </c>
      <c r="L45">
        <f t="shared" si="2"/>
        <v>5</v>
      </c>
      <c r="M45">
        <f t="shared" si="3"/>
        <v>9.6999999999999993</v>
      </c>
      <c r="N45" t="str">
        <f t="shared" si="4"/>
        <v>5' 9.7"</v>
      </c>
      <c r="O45">
        <f t="shared" si="5"/>
        <v>373</v>
      </c>
      <c r="P45">
        <f t="shared" si="6"/>
        <v>37</v>
      </c>
      <c r="Q45">
        <f t="shared" si="6"/>
        <v>14</v>
      </c>
      <c r="R45">
        <f t="shared" si="6"/>
        <v>5</v>
      </c>
    </row>
    <row r="46" spans="1:20">
      <c r="A46" s="1" t="s">
        <v>113</v>
      </c>
      <c r="B46" s="1"/>
      <c r="C46" s="1" t="s">
        <v>147</v>
      </c>
      <c r="D46" s="1" t="s">
        <v>148</v>
      </c>
      <c r="E46" s="1" t="s">
        <v>179</v>
      </c>
      <c r="F46" s="1" t="e">
        <f>_xlfn.XLOOKUP(E46,'rank lookup'!$A$1:$A$21,'rank lookup'!$B$1:$B$21,,0)</f>
        <v>#N/A</v>
      </c>
      <c r="G46" s="1"/>
      <c r="H46" s="19">
        <v>181</v>
      </c>
      <c r="I46" s="19">
        <v>189</v>
      </c>
      <c r="J46" s="5">
        <f t="shared" si="0"/>
        <v>57.690546686609082</v>
      </c>
      <c r="K46" s="4">
        <f t="shared" si="1"/>
        <v>71.259842519685037</v>
      </c>
      <c r="L46">
        <f t="shared" si="2"/>
        <v>5</v>
      </c>
      <c r="M46">
        <f t="shared" si="3"/>
        <v>11.3</v>
      </c>
      <c r="N46" t="str">
        <f t="shared" si="4"/>
        <v>5' 11.3"</v>
      </c>
      <c r="O46">
        <f t="shared" si="5"/>
        <v>417</v>
      </c>
    </row>
    <row r="47" spans="1:20">
      <c r="A47" s="1" t="s">
        <v>168</v>
      </c>
      <c r="D47" t="s">
        <v>152</v>
      </c>
      <c r="E47" s="1" t="s">
        <v>170</v>
      </c>
      <c r="F47" s="1" t="e">
        <f>_xlfn.XLOOKUP(E47,'rank lookup'!$A$1:$A$21,'rank lookup'!$B$1:$B$21,,0)</f>
        <v>#N/A</v>
      </c>
      <c r="H47" s="19">
        <v>185</v>
      </c>
      <c r="I47" s="19">
        <v>177</v>
      </c>
      <c r="J47" s="5">
        <f t="shared" si="0"/>
        <v>51.716581446311181</v>
      </c>
      <c r="K47" s="4">
        <f t="shared" si="1"/>
        <v>72.834645669291348</v>
      </c>
      <c r="L47">
        <f t="shared" si="2"/>
        <v>6</v>
      </c>
      <c r="M47">
        <f t="shared" si="3"/>
        <v>0.8</v>
      </c>
      <c r="N47" t="str">
        <f t="shared" si="4"/>
        <v>6' 0.8"</v>
      </c>
      <c r="O47">
        <f t="shared" si="5"/>
        <v>390</v>
      </c>
    </row>
    <row r="48" spans="1:20">
      <c r="A48" s="1" t="s">
        <v>126</v>
      </c>
      <c r="B48" s="1"/>
      <c r="C48" s="1" t="s">
        <v>152</v>
      </c>
      <c r="D48" s="1" t="s">
        <v>154</v>
      </c>
      <c r="E48" s="1" t="s">
        <v>180</v>
      </c>
      <c r="F48" s="1" t="e">
        <f>_xlfn.XLOOKUP(E48,'rank lookup'!$A$1:$A$21,'rank lookup'!$B$1:$B$21,,0)</f>
        <v>#N/A</v>
      </c>
      <c r="G48" s="1"/>
      <c r="H48" s="19">
        <v>169</v>
      </c>
      <c r="I48" s="19">
        <v>107</v>
      </c>
      <c r="J48" s="5">
        <f t="shared" si="0"/>
        <v>37.463674241098005</v>
      </c>
      <c r="K48" s="4">
        <f t="shared" si="1"/>
        <v>66.535433070866134</v>
      </c>
      <c r="L48">
        <f t="shared" si="2"/>
        <v>5</v>
      </c>
      <c r="M48">
        <f t="shared" si="3"/>
        <v>6.5</v>
      </c>
      <c r="N48" t="str">
        <f t="shared" si="4"/>
        <v>5' 6.5"</v>
      </c>
      <c r="O48">
        <f t="shared" si="5"/>
        <v>236</v>
      </c>
    </row>
    <row r="49" spans="1:15">
      <c r="A49" s="1" t="s">
        <v>107</v>
      </c>
      <c r="B49" s="1"/>
      <c r="C49" s="1" t="s">
        <v>151</v>
      </c>
      <c r="D49" s="1" t="s">
        <v>169</v>
      </c>
      <c r="E49" s="1" t="s">
        <v>179</v>
      </c>
      <c r="F49" s="1" t="e">
        <f>_xlfn.XLOOKUP(E49,'rank lookup'!$A$1:$A$21,'rank lookup'!$B$1:$B$21,,0)</f>
        <v>#N/A</v>
      </c>
      <c r="G49" s="1"/>
      <c r="H49" s="19">
        <v>185</v>
      </c>
      <c r="I49" s="19">
        <v>181</v>
      </c>
      <c r="J49" s="5">
        <f t="shared" si="0"/>
        <v>52.885317750182615</v>
      </c>
      <c r="K49" s="4">
        <f t="shared" si="1"/>
        <v>72.834645669291348</v>
      </c>
      <c r="L49">
        <f t="shared" si="2"/>
        <v>6</v>
      </c>
      <c r="M49">
        <f t="shared" si="3"/>
        <v>0.8</v>
      </c>
      <c r="N49" t="str">
        <f t="shared" si="4"/>
        <v>6' 0.8"</v>
      </c>
      <c r="O49">
        <f t="shared" si="5"/>
        <v>399</v>
      </c>
    </row>
  </sheetData>
  <autoFilter ref="A3:O38" xr:uid="{7067DD38-AD06-4250-9520-A2F29B57D9C0}">
    <sortState xmlns:xlrd2="http://schemas.microsoft.com/office/spreadsheetml/2017/richdata2" ref="A4:O49">
      <sortCondition ref="F3:F38"/>
    </sortState>
  </autoFilter>
  <hyperlinks>
    <hyperlink ref="C2" r:id="rId1" xr:uid="{56B2D7DA-A872-4581-8686-C2C72C36CD24}"/>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0C5FB-035E-42D8-81B6-EEA918FFAAF4}">
  <dimension ref="A1:S48"/>
  <sheetViews>
    <sheetView zoomScale="106" zoomScaleNormal="106" workbookViewId="0">
      <pane xSplit="1" ySplit="3" topLeftCell="B18" activePane="bottomRight" state="frozen"/>
      <selection pane="topRight" activeCell="B1" sqref="B1"/>
      <selection pane="bottomLeft" activeCell="A4" sqref="A4"/>
      <selection pane="bottomRight" activeCell="J19" sqref="J19"/>
    </sheetView>
  </sheetViews>
  <sheetFormatPr defaultRowHeight="14.5"/>
  <cols>
    <col min="1" max="6" width="21.1796875" customWidth="1"/>
    <col min="9" max="9" width="11.26953125" bestFit="1" customWidth="1"/>
    <col min="10" max="10" width="8.7265625" style="4"/>
    <col min="17" max="17" width="9.54296875" customWidth="1"/>
  </cols>
  <sheetData>
    <row r="1" spans="1:19">
      <c r="C1" t="s">
        <v>174</v>
      </c>
    </row>
    <row r="2" spans="1:19">
      <c r="C2" s="17" t="s">
        <v>162</v>
      </c>
      <c r="D2" s="17"/>
      <c r="O2">
        <f>MAX(O4:O45)</f>
        <v>42</v>
      </c>
      <c r="P2">
        <f>MAX(P4:P45)</f>
        <v>42</v>
      </c>
      <c r="Q2">
        <f>MAX(Q4:Q45)</f>
        <v>42</v>
      </c>
    </row>
    <row r="3" spans="1:19">
      <c r="A3" t="s">
        <v>3</v>
      </c>
      <c r="B3" t="s">
        <v>11</v>
      </c>
      <c r="C3" t="s">
        <v>131</v>
      </c>
      <c r="D3" t="s">
        <v>163</v>
      </c>
      <c r="E3" t="s">
        <v>156</v>
      </c>
      <c r="F3" t="s">
        <v>164</v>
      </c>
      <c r="G3" t="s">
        <v>5</v>
      </c>
      <c r="H3" t="s">
        <v>4</v>
      </c>
      <c r="I3" t="s">
        <v>26</v>
      </c>
      <c r="J3" s="4" t="s">
        <v>6</v>
      </c>
      <c r="K3" t="s">
        <v>7</v>
      </c>
      <c r="L3" t="s">
        <v>8</v>
      </c>
      <c r="M3" t="s">
        <v>9</v>
      </c>
      <c r="N3" t="s">
        <v>10</v>
      </c>
      <c r="O3" t="s">
        <v>171</v>
      </c>
      <c r="P3" t="s">
        <v>172</v>
      </c>
      <c r="Q3" t="s">
        <v>173</v>
      </c>
      <c r="S3" s="14"/>
    </row>
    <row r="4" spans="1:19" ht="37.5">
      <c r="A4" s="1" t="s">
        <v>86</v>
      </c>
      <c r="B4" s="1">
        <v>7</v>
      </c>
      <c r="C4" s="1" t="s">
        <v>14</v>
      </c>
      <c r="D4" s="1" t="s">
        <v>14</v>
      </c>
      <c r="E4" s="1">
        <f>_xlfn.XLOOKUP(D4,'rank lookup'!$A$1:$A$21,'rank lookup'!$B$1:$B$21,,0)</f>
        <v>1</v>
      </c>
      <c r="F4" s="1" t="s">
        <v>165</v>
      </c>
      <c r="G4" s="19">
        <v>192</v>
      </c>
      <c r="H4" s="19">
        <v>181</v>
      </c>
      <c r="I4" s="5">
        <f t="shared" ref="I4:I41" si="0">H4/(G4*G4)*10000</f>
        <v>49.099392361111107</v>
      </c>
      <c r="J4" s="4">
        <f t="shared" ref="J4:J41" si="1">CONVERT(G4,"cm","in")</f>
        <v>75.59055118110237</v>
      </c>
      <c r="K4">
        <f t="shared" ref="K4:K41" si="2">_xlfn.FLOOR.MATH(J4/12)</f>
        <v>6</v>
      </c>
      <c r="L4">
        <f t="shared" ref="L4:L41" si="3">ROUND(J4-K4*12,1)</f>
        <v>3.6</v>
      </c>
      <c r="M4" t="str">
        <f t="shared" ref="M4:M41" si="4">K4&amp;"' "&amp;L4&amp;""""</f>
        <v>6' 3.6"</v>
      </c>
      <c r="N4">
        <f t="shared" ref="N4:N41" si="5">ROUND(CONVERT(H4,"kg","lbm"),0)</f>
        <v>399</v>
      </c>
      <c r="O4">
        <f>_xlfn.RANK.EQ(G4,G$4:G$45)</f>
        <v>2</v>
      </c>
      <c r="P4">
        <f>_xlfn.RANK.EQ(H4,H$4:H$45)</f>
        <v>5</v>
      </c>
      <c r="Q4">
        <f>_xlfn.RANK.EQ(I4,I$4:I$45)</f>
        <v>13</v>
      </c>
    </row>
    <row r="5" spans="1:19">
      <c r="A5" s="1" t="s">
        <v>123</v>
      </c>
      <c r="B5" s="1">
        <v>2</v>
      </c>
      <c r="C5" s="1" t="s">
        <v>39</v>
      </c>
      <c r="D5" s="1" t="s">
        <v>39</v>
      </c>
      <c r="E5" s="1">
        <f>_xlfn.XLOOKUP(D5,'rank lookup'!$A$1:$A$21,'rank lookup'!$B$1:$B$21,,0)</f>
        <v>2</v>
      </c>
      <c r="F5" s="1"/>
      <c r="G5" s="19">
        <v>175</v>
      </c>
      <c r="H5" s="19">
        <v>163</v>
      </c>
      <c r="I5" s="5">
        <f t="shared" si="0"/>
        <v>53.224489795918366</v>
      </c>
      <c r="J5" s="4">
        <f t="shared" si="1"/>
        <v>68.897637795275585</v>
      </c>
      <c r="K5">
        <f t="shared" si="2"/>
        <v>5</v>
      </c>
      <c r="L5">
        <f t="shared" si="3"/>
        <v>8.9</v>
      </c>
      <c r="M5" t="str">
        <f t="shared" si="4"/>
        <v>5' 8.9"</v>
      </c>
      <c r="N5">
        <f t="shared" si="5"/>
        <v>359</v>
      </c>
      <c r="O5">
        <f t="shared" ref="O5:Q45" si="6">_xlfn.RANK.EQ(G5,G$4:G$45)</f>
        <v>38</v>
      </c>
      <c r="P5">
        <f t="shared" si="6"/>
        <v>15</v>
      </c>
      <c r="Q5">
        <f t="shared" si="6"/>
        <v>4</v>
      </c>
    </row>
    <row r="6" spans="1:19">
      <c r="A6" s="1" t="s">
        <v>109</v>
      </c>
      <c r="B6" s="1">
        <v>1</v>
      </c>
      <c r="C6" s="1" t="s">
        <v>39</v>
      </c>
      <c r="D6" s="1" t="s">
        <v>39</v>
      </c>
      <c r="E6" s="1">
        <f>_xlfn.XLOOKUP(D6,'rank lookup'!$A$1:$A$21,'rank lookup'!$B$1:$B$21,,0)</f>
        <v>2</v>
      </c>
      <c r="F6" s="1"/>
      <c r="G6" s="19">
        <v>183</v>
      </c>
      <c r="H6" s="19">
        <v>162</v>
      </c>
      <c r="I6" s="5">
        <f t="shared" si="0"/>
        <v>48.374092985756519</v>
      </c>
      <c r="J6" s="4">
        <f t="shared" si="1"/>
        <v>72.047244094488192</v>
      </c>
      <c r="K6">
        <f t="shared" si="2"/>
        <v>6</v>
      </c>
      <c r="L6">
        <f t="shared" si="3"/>
        <v>0</v>
      </c>
      <c r="M6" t="str">
        <f t="shared" si="4"/>
        <v>6' 0"</v>
      </c>
      <c r="N6">
        <f t="shared" si="5"/>
        <v>357</v>
      </c>
      <c r="O6">
        <f t="shared" si="6"/>
        <v>26</v>
      </c>
      <c r="P6">
        <f t="shared" si="6"/>
        <v>16</v>
      </c>
      <c r="Q6">
        <f t="shared" si="6"/>
        <v>17</v>
      </c>
    </row>
    <row r="7" spans="1:19">
      <c r="A7" s="1" t="s">
        <v>116</v>
      </c>
      <c r="B7" s="1">
        <v>2</v>
      </c>
      <c r="C7" s="1" t="s">
        <v>39</v>
      </c>
      <c r="D7" s="1" t="s">
        <v>31</v>
      </c>
      <c r="E7" s="1">
        <f>_xlfn.XLOOKUP(D7,'rank lookup'!$A$1:$A$21,'rank lookup'!$B$1:$B$21,,0)</f>
        <v>3</v>
      </c>
      <c r="F7" s="1"/>
      <c r="G7" s="19">
        <v>179</v>
      </c>
      <c r="H7" s="19">
        <v>171</v>
      </c>
      <c r="I7" s="5">
        <f t="shared" si="0"/>
        <v>53.369120813957117</v>
      </c>
      <c r="J7" s="4">
        <f t="shared" si="1"/>
        <v>70.472440944881896</v>
      </c>
      <c r="K7">
        <f t="shared" si="2"/>
        <v>5</v>
      </c>
      <c r="L7">
        <f t="shared" si="3"/>
        <v>10.5</v>
      </c>
      <c r="M7" t="str">
        <f t="shared" si="4"/>
        <v>5' 10.5"</v>
      </c>
      <c r="N7">
        <f t="shared" si="5"/>
        <v>377</v>
      </c>
      <c r="O7">
        <f t="shared" si="6"/>
        <v>34</v>
      </c>
      <c r="P7">
        <f t="shared" si="6"/>
        <v>10</v>
      </c>
      <c r="Q7">
        <f t="shared" si="6"/>
        <v>3</v>
      </c>
    </row>
    <row r="8" spans="1:19">
      <c r="A8" s="1" t="s">
        <v>114</v>
      </c>
      <c r="B8" s="1"/>
      <c r="C8" s="1" t="s">
        <v>31</v>
      </c>
      <c r="D8" s="1" t="s">
        <v>31</v>
      </c>
      <c r="E8" s="1">
        <f>_xlfn.XLOOKUP(D8,'rank lookup'!$A$1:$A$21,'rank lookup'!$B$1:$B$21,,0)</f>
        <v>3</v>
      </c>
      <c r="F8" s="1"/>
      <c r="G8" s="19">
        <v>183</v>
      </c>
      <c r="H8" s="19">
        <v>132</v>
      </c>
      <c r="I8" s="5">
        <f t="shared" si="0"/>
        <v>39.415927618023829</v>
      </c>
      <c r="J8" s="4">
        <f t="shared" si="1"/>
        <v>72.047244094488192</v>
      </c>
      <c r="K8">
        <f t="shared" si="2"/>
        <v>6</v>
      </c>
      <c r="L8">
        <f t="shared" si="3"/>
        <v>0</v>
      </c>
      <c r="M8" t="str">
        <f t="shared" si="4"/>
        <v>6' 0"</v>
      </c>
      <c r="N8">
        <f t="shared" si="5"/>
        <v>291</v>
      </c>
      <c r="O8">
        <f t="shared" si="6"/>
        <v>26</v>
      </c>
      <c r="P8">
        <f t="shared" si="6"/>
        <v>39</v>
      </c>
      <c r="Q8">
        <f t="shared" si="6"/>
        <v>39</v>
      </c>
    </row>
    <row r="9" spans="1:19">
      <c r="A9" s="1" t="s">
        <v>95</v>
      </c>
      <c r="B9" s="1"/>
      <c r="C9" s="1" t="s">
        <v>31</v>
      </c>
      <c r="D9" s="1" t="s">
        <v>31</v>
      </c>
      <c r="E9" s="1">
        <f>_xlfn.XLOOKUP(D9,'rank lookup'!$A$1:$A$21,'rank lookup'!$B$1:$B$21,,0)</f>
        <v>3</v>
      </c>
      <c r="F9" s="1"/>
      <c r="G9" s="19">
        <v>185</v>
      </c>
      <c r="H9" s="19">
        <v>140</v>
      </c>
      <c r="I9" s="5">
        <f t="shared" si="0"/>
        <v>40.905770635500367</v>
      </c>
      <c r="J9" s="4">
        <f t="shared" si="1"/>
        <v>72.834645669291348</v>
      </c>
      <c r="K9">
        <f t="shared" si="2"/>
        <v>6</v>
      </c>
      <c r="L9">
        <f t="shared" si="3"/>
        <v>0.8</v>
      </c>
      <c r="M9" t="str">
        <f t="shared" si="4"/>
        <v>6' 0.8"</v>
      </c>
      <c r="N9">
        <f t="shared" si="5"/>
        <v>309</v>
      </c>
      <c r="O9">
        <f t="shared" si="6"/>
        <v>19</v>
      </c>
      <c r="P9">
        <f t="shared" si="6"/>
        <v>33</v>
      </c>
      <c r="Q9">
        <f t="shared" si="6"/>
        <v>36</v>
      </c>
    </row>
    <row r="10" spans="1:19">
      <c r="A10" s="1" t="s">
        <v>112</v>
      </c>
      <c r="B10" s="1">
        <v>1</v>
      </c>
      <c r="C10" s="1" t="s">
        <v>31</v>
      </c>
      <c r="D10" s="1" t="s">
        <v>42</v>
      </c>
      <c r="E10" s="1">
        <f>_xlfn.XLOOKUP(D10,'rank lookup'!$A$1:$A$21,'rank lookup'!$B$1:$B$21,,0)</f>
        <v>4</v>
      </c>
      <c r="F10" s="1"/>
      <c r="G10" s="19">
        <v>182</v>
      </c>
      <c r="H10" s="19">
        <v>161</v>
      </c>
      <c r="I10" s="5">
        <f t="shared" si="0"/>
        <v>48.605240912933226</v>
      </c>
      <c r="J10" s="4">
        <f t="shared" si="1"/>
        <v>71.653543307086608</v>
      </c>
      <c r="K10">
        <f t="shared" si="2"/>
        <v>5</v>
      </c>
      <c r="L10">
        <f t="shared" si="3"/>
        <v>11.7</v>
      </c>
      <c r="M10" t="str">
        <f t="shared" si="4"/>
        <v>5' 11.7"</v>
      </c>
      <c r="N10">
        <f t="shared" si="5"/>
        <v>355</v>
      </c>
      <c r="O10">
        <f t="shared" si="6"/>
        <v>30</v>
      </c>
      <c r="P10">
        <f t="shared" si="6"/>
        <v>18</v>
      </c>
      <c r="Q10">
        <f t="shared" si="6"/>
        <v>15</v>
      </c>
    </row>
    <row r="11" spans="1:19">
      <c r="A11" s="1" t="s">
        <v>102</v>
      </c>
      <c r="B11" s="1"/>
      <c r="C11" s="1" t="s">
        <v>42</v>
      </c>
      <c r="D11" s="1" t="s">
        <v>42</v>
      </c>
      <c r="E11" s="1">
        <f>_xlfn.XLOOKUP(D11,'rank lookup'!$A$1:$A$21,'rank lookup'!$B$1:$B$21,,0)</f>
        <v>4</v>
      </c>
      <c r="F11" s="1"/>
      <c r="G11" s="19">
        <v>185</v>
      </c>
      <c r="H11" s="19">
        <v>138</v>
      </c>
      <c r="I11" s="5">
        <f t="shared" si="0"/>
        <v>40.321402483564647</v>
      </c>
      <c r="J11" s="4">
        <f t="shared" si="1"/>
        <v>72.834645669291348</v>
      </c>
      <c r="K11">
        <f t="shared" si="2"/>
        <v>6</v>
      </c>
      <c r="L11">
        <f t="shared" si="3"/>
        <v>0.8</v>
      </c>
      <c r="M11" t="str">
        <f t="shared" si="4"/>
        <v>6' 0.8"</v>
      </c>
      <c r="N11">
        <f t="shared" si="5"/>
        <v>304</v>
      </c>
      <c r="O11">
        <f t="shared" si="6"/>
        <v>19</v>
      </c>
      <c r="P11">
        <f t="shared" si="6"/>
        <v>34</v>
      </c>
      <c r="Q11">
        <f t="shared" si="6"/>
        <v>37</v>
      </c>
    </row>
    <row r="12" spans="1:19">
      <c r="A12" s="1" t="s">
        <v>124</v>
      </c>
      <c r="B12" s="1"/>
      <c r="C12" s="1" t="s">
        <v>132</v>
      </c>
      <c r="D12" s="1" t="s">
        <v>42</v>
      </c>
      <c r="E12" s="1">
        <f>_xlfn.XLOOKUP(D12,'rank lookup'!$A$1:$A$21,'rank lookup'!$B$1:$B$21,,0)</f>
        <v>4</v>
      </c>
      <c r="F12" s="1"/>
      <c r="G12" s="19">
        <v>174</v>
      </c>
      <c r="H12" s="19">
        <v>133</v>
      </c>
      <c r="I12" s="5">
        <f t="shared" si="0"/>
        <v>43.929184832870916</v>
      </c>
      <c r="J12" s="4">
        <f t="shared" si="1"/>
        <v>68.503937007874015</v>
      </c>
      <c r="K12">
        <f t="shared" si="2"/>
        <v>5</v>
      </c>
      <c r="L12">
        <f t="shared" si="3"/>
        <v>8.5</v>
      </c>
      <c r="M12" t="str">
        <f t="shared" si="4"/>
        <v>5' 8.5"</v>
      </c>
      <c r="N12">
        <f t="shared" si="5"/>
        <v>293</v>
      </c>
      <c r="O12">
        <f t="shared" si="6"/>
        <v>40</v>
      </c>
      <c r="P12">
        <f t="shared" si="6"/>
        <v>38</v>
      </c>
      <c r="Q12">
        <f t="shared" si="6"/>
        <v>25</v>
      </c>
    </row>
    <row r="13" spans="1:19">
      <c r="A13" s="1" t="s">
        <v>92</v>
      </c>
      <c r="B13" s="1">
        <v>2</v>
      </c>
      <c r="C13" s="1" t="s">
        <v>137</v>
      </c>
      <c r="D13" s="1" t="s">
        <v>42</v>
      </c>
      <c r="E13" s="1">
        <f>_xlfn.XLOOKUP(D13,'rank lookup'!$A$1:$A$21,'rank lookup'!$B$1:$B$21,,0)</f>
        <v>4</v>
      </c>
      <c r="F13" s="1"/>
      <c r="G13" s="19">
        <v>189</v>
      </c>
      <c r="H13" s="19">
        <v>174</v>
      </c>
      <c r="I13" s="5">
        <f t="shared" si="0"/>
        <v>48.710842361636011</v>
      </c>
      <c r="J13" s="4">
        <f t="shared" si="1"/>
        <v>74.409448818897644</v>
      </c>
      <c r="K13">
        <f t="shared" si="2"/>
        <v>6</v>
      </c>
      <c r="L13">
        <f t="shared" si="3"/>
        <v>2.4</v>
      </c>
      <c r="M13" t="str">
        <f t="shared" si="4"/>
        <v>6' 2.4"</v>
      </c>
      <c r="N13">
        <f t="shared" si="5"/>
        <v>384</v>
      </c>
      <c r="O13">
        <f t="shared" si="6"/>
        <v>7</v>
      </c>
      <c r="P13">
        <f t="shared" si="6"/>
        <v>9</v>
      </c>
      <c r="Q13">
        <f t="shared" si="6"/>
        <v>14</v>
      </c>
    </row>
    <row r="14" spans="1:19">
      <c r="A14" s="1" t="s">
        <v>94</v>
      </c>
      <c r="B14" s="1"/>
      <c r="C14" s="1" t="s">
        <v>136</v>
      </c>
      <c r="D14" s="1" t="s">
        <v>132</v>
      </c>
      <c r="E14" s="1">
        <f>_xlfn.XLOOKUP(D14,'rank lookup'!$A$1:$A$21,'rank lookup'!$B$1:$B$21,,0)</f>
        <v>5</v>
      </c>
      <c r="F14" s="1"/>
      <c r="G14" s="19">
        <v>189</v>
      </c>
      <c r="H14" s="19">
        <v>167</v>
      </c>
      <c r="I14" s="5">
        <f t="shared" si="0"/>
        <v>46.751210772374797</v>
      </c>
      <c r="J14" s="4">
        <f t="shared" si="1"/>
        <v>74.409448818897644</v>
      </c>
      <c r="K14">
        <f t="shared" si="2"/>
        <v>6</v>
      </c>
      <c r="L14">
        <f t="shared" si="3"/>
        <v>2.4</v>
      </c>
      <c r="M14" t="str">
        <f t="shared" si="4"/>
        <v>6' 2.4"</v>
      </c>
      <c r="N14">
        <f t="shared" si="5"/>
        <v>368</v>
      </c>
      <c r="O14">
        <f t="shared" si="6"/>
        <v>7</v>
      </c>
      <c r="P14">
        <f t="shared" si="6"/>
        <v>12</v>
      </c>
      <c r="Q14">
        <f t="shared" si="6"/>
        <v>21</v>
      </c>
    </row>
    <row r="15" spans="1:19">
      <c r="A15" s="1" t="s">
        <v>96</v>
      </c>
      <c r="B15" s="1"/>
      <c r="C15" s="1" t="s">
        <v>139</v>
      </c>
      <c r="D15" s="1" t="s">
        <v>132</v>
      </c>
      <c r="E15" s="1">
        <f>_xlfn.XLOOKUP(D15,'rank lookup'!$A$1:$A$21,'rank lookup'!$B$1:$B$21,,0)</f>
        <v>5</v>
      </c>
      <c r="F15" s="1"/>
      <c r="G15" s="19">
        <v>186</v>
      </c>
      <c r="H15" s="19">
        <v>182</v>
      </c>
      <c r="I15" s="5">
        <f t="shared" si="0"/>
        <v>52.607237830963122</v>
      </c>
      <c r="J15" s="4">
        <f t="shared" si="1"/>
        <v>73.228346456692918</v>
      </c>
      <c r="K15">
        <f t="shared" si="2"/>
        <v>6</v>
      </c>
      <c r="L15">
        <f t="shared" si="3"/>
        <v>1.2</v>
      </c>
      <c r="M15" t="str">
        <f t="shared" si="4"/>
        <v>6' 1.2"</v>
      </c>
      <c r="N15">
        <f t="shared" si="5"/>
        <v>401</v>
      </c>
      <c r="O15">
        <f t="shared" si="6"/>
        <v>16</v>
      </c>
      <c r="P15">
        <f t="shared" si="6"/>
        <v>4</v>
      </c>
      <c r="Q15">
        <f t="shared" si="6"/>
        <v>5</v>
      </c>
    </row>
    <row r="16" spans="1:19">
      <c r="A16" s="1" t="s">
        <v>89</v>
      </c>
      <c r="B16" s="1">
        <v>1</v>
      </c>
      <c r="C16" s="1" t="s">
        <v>42</v>
      </c>
      <c r="D16" s="1" t="s">
        <v>136</v>
      </c>
      <c r="E16" s="1">
        <f>_xlfn.XLOOKUP(D16,'rank lookup'!$A$1:$A$21,'rank lookup'!$B$1:$B$21,,0)</f>
        <v>6</v>
      </c>
      <c r="F16" s="1"/>
      <c r="G16" s="19">
        <v>190</v>
      </c>
      <c r="H16" s="19">
        <v>212</v>
      </c>
      <c r="I16" s="5">
        <f t="shared" si="0"/>
        <v>58.725761772853183</v>
      </c>
      <c r="J16" s="4">
        <f t="shared" si="1"/>
        <v>74.803149606299215</v>
      </c>
      <c r="K16">
        <f t="shared" si="2"/>
        <v>6</v>
      </c>
      <c r="L16">
        <f t="shared" si="3"/>
        <v>2.8</v>
      </c>
      <c r="M16" t="str">
        <f t="shared" si="4"/>
        <v>6' 2.8"</v>
      </c>
      <c r="N16">
        <f t="shared" si="5"/>
        <v>467</v>
      </c>
      <c r="O16">
        <f t="shared" si="6"/>
        <v>5</v>
      </c>
      <c r="P16">
        <f t="shared" si="6"/>
        <v>1</v>
      </c>
      <c r="Q16">
        <f t="shared" si="6"/>
        <v>1</v>
      </c>
    </row>
    <row r="17" spans="1:17">
      <c r="A17" s="1" t="s">
        <v>117</v>
      </c>
      <c r="B17" s="1"/>
      <c r="C17" s="1" t="s">
        <v>136</v>
      </c>
      <c r="D17" s="1" t="s">
        <v>136</v>
      </c>
      <c r="E17" s="1">
        <f>_xlfn.XLOOKUP(D17,'rank lookup'!$A$1:$A$21,'rank lookup'!$B$1:$B$21,,0)</f>
        <v>6</v>
      </c>
      <c r="F17" s="1"/>
      <c r="G17" s="19">
        <v>180</v>
      </c>
      <c r="H17" s="19">
        <v>153</v>
      </c>
      <c r="I17" s="5">
        <f t="shared" si="0"/>
        <v>47.222222222222221</v>
      </c>
      <c r="J17" s="4">
        <f t="shared" si="1"/>
        <v>70.866141732283467</v>
      </c>
      <c r="K17">
        <f t="shared" si="2"/>
        <v>5</v>
      </c>
      <c r="L17">
        <f t="shared" si="3"/>
        <v>10.9</v>
      </c>
      <c r="M17" t="str">
        <f t="shared" si="4"/>
        <v>5' 10.9"</v>
      </c>
      <c r="N17">
        <f t="shared" si="5"/>
        <v>337</v>
      </c>
      <c r="O17">
        <f t="shared" si="6"/>
        <v>33</v>
      </c>
      <c r="P17">
        <f t="shared" si="6"/>
        <v>26</v>
      </c>
      <c r="Q17">
        <f t="shared" si="6"/>
        <v>20</v>
      </c>
    </row>
    <row r="18" spans="1:17">
      <c r="A18" s="1" t="s">
        <v>133</v>
      </c>
      <c r="C18" t="s">
        <v>132</v>
      </c>
      <c r="D18" s="1" t="s">
        <v>137</v>
      </c>
      <c r="E18" s="1">
        <f>_xlfn.XLOOKUP(D18,'rank lookup'!$A$1:$A$21,'rank lookup'!$B$1:$B$21,,0)</f>
        <v>7</v>
      </c>
      <c r="F18" s="1"/>
      <c r="G18" s="19">
        <v>171</v>
      </c>
      <c r="H18" s="19">
        <v>114</v>
      </c>
      <c r="I18" s="5">
        <f t="shared" si="0"/>
        <v>38.98635477582846</v>
      </c>
      <c r="J18" s="4">
        <f t="shared" si="1"/>
        <v>67.322834645669289</v>
      </c>
      <c r="K18">
        <f t="shared" si="2"/>
        <v>5</v>
      </c>
      <c r="L18">
        <f t="shared" si="3"/>
        <v>7.3</v>
      </c>
      <c r="M18" t="str">
        <f t="shared" si="4"/>
        <v>5' 7.3"</v>
      </c>
      <c r="N18">
        <f t="shared" si="5"/>
        <v>251</v>
      </c>
      <c r="O18">
        <f t="shared" si="6"/>
        <v>41</v>
      </c>
      <c r="P18">
        <f t="shared" si="6"/>
        <v>41</v>
      </c>
      <c r="Q18">
        <f t="shared" si="6"/>
        <v>41</v>
      </c>
    </row>
    <row r="19" spans="1:17">
      <c r="A19" s="1" t="s">
        <v>121</v>
      </c>
      <c r="B19" s="1"/>
      <c r="C19" s="1" t="s">
        <v>137</v>
      </c>
      <c r="D19" s="1" t="s">
        <v>137</v>
      </c>
      <c r="E19" s="1">
        <f>_xlfn.XLOOKUP(D19,'rank lookup'!$A$1:$A$21,'rank lookup'!$B$1:$B$21,,0)</f>
        <v>7</v>
      </c>
      <c r="F19" s="1"/>
      <c r="G19" s="19">
        <v>175</v>
      </c>
      <c r="H19" s="19">
        <v>151</v>
      </c>
      <c r="I19" s="5">
        <f t="shared" si="0"/>
        <v>49.306122448979593</v>
      </c>
      <c r="J19" s="4">
        <f t="shared" si="1"/>
        <v>68.897637795275585</v>
      </c>
      <c r="K19">
        <f t="shared" si="2"/>
        <v>5</v>
      </c>
      <c r="L19">
        <f t="shared" si="3"/>
        <v>8.9</v>
      </c>
      <c r="M19" t="str">
        <f t="shared" si="4"/>
        <v>5' 8.9"</v>
      </c>
      <c r="N19">
        <f t="shared" si="5"/>
        <v>333</v>
      </c>
      <c r="O19">
        <f t="shared" si="6"/>
        <v>38</v>
      </c>
      <c r="P19">
        <f t="shared" si="6"/>
        <v>27</v>
      </c>
      <c r="Q19">
        <f t="shared" si="6"/>
        <v>11</v>
      </c>
    </row>
    <row r="20" spans="1:17">
      <c r="A20" s="1" t="s">
        <v>111</v>
      </c>
      <c r="B20" s="1"/>
      <c r="C20" s="1" t="s">
        <v>140</v>
      </c>
      <c r="D20" s="1" t="s">
        <v>139</v>
      </c>
      <c r="E20" s="1">
        <f>_xlfn.XLOOKUP(D20,'rank lookup'!$A$1:$A$21,'rank lookup'!$B$1:$B$21,,0)</f>
        <v>8</v>
      </c>
      <c r="F20" s="1"/>
      <c r="G20" s="19">
        <v>182</v>
      </c>
      <c r="H20" s="19">
        <v>141</v>
      </c>
      <c r="I20" s="5">
        <f t="shared" si="0"/>
        <v>42.567322787103002</v>
      </c>
      <c r="J20" s="4">
        <f t="shared" si="1"/>
        <v>71.653543307086608</v>
      </c>
      <c r="K20">
        <f t="shared" si="2"/>
        <v>5</v>
      </c>
      <c r="L20">
        <f t="shared" si="3"/>
        <v>11.7</v>
      </c>
      <c r="M20" t="str">
        <f t="shared" si="4"/>
        <v>5' 11.7"</v>
      </c>
      <c r="N20">
        <f t="shared" si="5"/>
        <v>311</v>
      </c>
      <c r="O20">
        <f t="shared" si="6"/>
        <v>30</v>
      </c>
      <c r="P20">
        <f t="shared" si="6"/>
        <v>32</v>
      </c>
      <c r="Q20">
        <f t="shared" si="6"/>
        <v>32</v>
      </c>
    </row>
    <row r="21" spans="1:17">
      <c r="A21" s="1" t="s">
        <v>100</v>
      </c>
      <c r="B21" s="1"/>
      <c r="C21" s="1" t="s">
        <v>141</v>
      </c>
      <c r="D21" s="1" t="s">
        <v>139</v>
      </c>
      <c r="E21" s="1">
        <f>_xlfn.XLOOKUP(D21,'rank lookup'!$A$1:$A$21,'rank lookup'!$B$1:$B$21,,0)</f>
        <v>8</v>
      </c>
      <c r="F21" s="1"/>
      <c r="G21" s="19">
        <v>186</v>
      </c>
      <c r="H21" s="19">
        <v>135</v>
      </c>
      <c r="I21" s="5">
        <f t="shared" si="0"/>
        <v>39.021852237252858</v>
      </c>
      <c r="J21" s="4">
        <f t="shared" si="1"/>
        <v>73.228346456692918</v>
      </c>
      <c r="K21">
        <f t="shared" si="2"/>
        <v>6</v>
      </c>
      <c r="L21">
        <f t="shared" si="3"/>
        <v>1.2</v>
      </c>
      <c r="M21" t="str">
        <f t="shared" si="4"/>
        <v>6' 1.2"</v>
      </c>
      <c r="N21">
        <f t="shared" si="5"/>
        <v>298</v>
      </c>
      <c r="O21">
        <f t="shared" si="6"/>
        <v>16</v>
      </c>
      <c r="P21">
        <f t="shared" si="6"/>
        <v>35</v>
      </c>
      <c r="Q21">
        <f t="shared" si="6"/>
        <v>40</v>
      </c>
    </row>
    <row r="22" spans="1:17">
      <c r="A22" s="1" t="s">
        <v>103</v>
      </c>
      <c r="B22" s="1"/>
      <c r="C22" s="1" t="s">
        <v>142</v>
      </c>
      <c r="D22" s="1" t="s">
        <v>140</v>
      </c>
      <c r="E22" s="1">
        <f>_xlfn.XLOOKUP(D22,'rank lookup'!$A$1:$A$21,'rank lookup'!$B$1:$B$21,,0)</f>
        <v>9</v>
      </c>
      <c r="F22" s="1"/>
      <c r="G22" s="19">
        <v>184</v>
      </c>
      <c r="H22" s="19">
        <v>161</v>
      </c>
      <c r="I22" s="5">
        <f t="shared" si="0"/>
        <v>47.554347826086961</v>
      </c>
      <c r="J22" s="4">
        <f t="shared" si="1"/>
        <v>72.440944881889763</v>
      </c>
      <c r="K22">
        <f t="shared" si="2"/>
        <v>6</v>
      </c>
      <c r="L22">
        <f t="shared" si="3"/>
        <v>0.4</v>
      </c>
      <c r="M22" t="str">
        <f t="shared" si="4"/>
        <v>6' 0.4"</v>
      </c>
      <c r="N22">
        <f t="shared" si="5"/>
        <v>355</v>
      </c>
      <c r="O22">
        <f t="shared" si="6"/>
        <v>22</v>
      </c>
      <c r="P22">
        <f t="shared" si="6"/>
        <v>18</v>
      </c>
      <c r="Q22">
        <f t="shared" si="6"/>
        <v>19</v>
      </c>
    </row>
    <row r="23" spans="1:17">
      <c r="A23" t="s">
        <v>144</v>
      </c>
      <c r="C23" s="1" t="s">
        <v>145</v>
      </c>
      <c r="D23" s="1" t="s">
        <v>140</v>
      </c>
      <c r="E23" s="1">
        <f>_xlfn.XLOOKUP(D23,'rank lookup'!$A$1:$A$21,'rank lookup'!$B$1:$B$21,,0)</f>
        <v>9</v>
      </c>
      <c r="F23" s="1"/>
      <c r="G23" s="19">
        <v>184</v>
      </c>
      <c r="H23" s="19">
        <v>148</v>
      </c>
      <c r="I23" s="5">
        <f t="shared" si="0"/>
        <v>43.714555765595463</v>
      </c>
      <c r="J23" s="4">
        <f t="shared" si="1"/>
        <v>72.440944881889763</v>
      </c>
      <c r="K23">
        <f t="shared" si="2"/>
        <v>6</v>
      </c>
      <c r="L23">
        <f t="shared" si="3"/>
        <v>0.4</v>
      </c>
      <c r="M23" t="str">
        <f t="shared" si="4"/>
        <v>6' 0.4"</v>
      </c>
      <c r="N23">
        <f t="shared" si="5"/>
        <v>326</v>
      </c>
      <c r="O23">
        <f t="shared" si="6"/>
        <v>22</v>
      </c>
      <c r="P23">
        <f t="shared" si="6"/>
        <v>30</v>
      </c>
      <c r="Q23">
        <f t="shared" si="6"/>
        <v>26</v>
      </c>
    </row>
    <row r="24" spans="1:17">
      <c r="A24" s="1" t="s">
        <v>138</v>
      </c>
      <c r="C24" s="1" t="s">
        <v>139</v>
      </c>
      <c r="D24" s="1" t="s">
        <v>141</v>
      </c>
      <c r="E24" s="1">
        <f>_xlfn.XLOOKUP(D24,'rank lookup'!$A$1:$A$21,'rank lookup'!$B$1:$B$21,,0)</f>
        <v>10</v>
      </c>
      <c r="F24" s="1"/>
      <c r="G24" s="19">
        <v>184</v>
      </c>
      <c r="H24" s="19">
        <v>170</v>
      </c>
      <c r="I24" s="5">
        <f t="shared" si="0"/>
        <v>50.21266540642722</v>
      </c>
      <c r="J24" s="4">
        <f t="shared" si="1"/>
        <v>72.440944881889763</v>
      </c>
      <c r="K24">
        <f t="shared" si="2"/>
        <v>6</v>
      </c>
      <c r="L24">
        <f t="shared" si="3"/>
        <v>0.4</v>
      </c>
      <c r="M24" t="str">
        <f t="shared" si="4"/>
        <v>6' 0.4"</v>
      </c>
      <c r="N24">
        <f t="shared" si="5"/>
        <v>375</v>
      </c>
      <c r="O24">
        <f t="shared" si="6"/>
        <v>22</v>
      </c>
      <c r="P24">
        <f t="shared" si="6"/>
        <v>11</v>
      </c>
      <c r="Q24">
        <f t="shared" si="6"/>
        <v>9</v>
      </c>
    </row>
    <row r="25" spans="1:17">
      <c r="A25" t="s">
        <v>149</v>
      </c>
      <c r="C25" s="1" t="s">
        <v>148</v>
      </c>
      <c r="D25" s="1" t="s">
        <v>141</v>
      </c>
      <c r="E25" s="1">
        <f>_xlfn.XLOOKUP(D25,'rank lookup'!$A$1:$A$21,'rank lookup'!$B$1:$B$21,,0)</f>
        <v>10</v>
      </c>
      <c r="F25" s="1"/>
      <c r="G25" s="20">
        <v>187</v>
      </c>
      <c r="H25" s="19">
        <v>154</v>
      </c>
      <c r="I25" s="5">
        <f t="shared" si="0"/>
        <v>44.039005976722237</v>
      </c>
      <c r="J25" s="4">
        <f t="shared" si="1"/>
        <v>73.622047244094489</v>
      </c>
      <c r="K25">
        <f t="shared" si="2"/>
        <v>6</v>
      </c>
      <c r="L25">
        <f t="shared" si="3"/>
        <v>1.6</v>
      </c>
      <c r="M25" t="str">
        <f t="shared" si="4"/>
        <v>6' 1.6"</v>
      </c>
      <c r="N25">
        <f t="shared" si="5"/>
        <v>340</v>
      </c>
      <c r="O25">
        <f t="shared" si="6"/>
        <v>13</v>
      </c>
      <c r="P25">
        <f t="shared" si="6"/>
        <v>24</v>
      </c>
      <c r="Q25">
        <f t="shared" si="6"/>
        <v>24</v>
      </c>
    </row>
    <row r="26" spans="1:17">
      <c r="A26" s="1" t="s">
        <v>99</v>
      </c>
      <c r="B26" s="1"/>
      <c r="C26" s="1" t="s">
        <v>141</v>
      </c>
      <c r="D26" s="1" t="s">
        <v>135</v>
      </c>
      <c r="E26" s="1">
        <f>_xlfn.XLOOKUP(D26,'rank lookup'!$A$1:$A$21,'rank lookup'!$B$1:$B$21,,0)</f>
        <v>11</v>
      </c>
      <c r="F26" s="1"/>
      <c r="G26" s="19">
        <v>183</v>
      </c>
      <c r="H26" s="19">
        <v>149</v>
      </c>
      <c r="I26" s="5">
        <f t="shared" si="0"/>
        <v>44.492221326405691</v>
      </c>
      <c r="J26" s="4">
        <f t="shared" si="1"/>
        <v>72.047244094488192</v>
      </c>
      <c r="K26">
        <f t="shared" si="2"/>
        <v>6</v>
      </c>
      <c r="L26">
        <f t="shared" si="3"/>
        <v>0</v>
      </c>
      <c r="M26" t="str">
        <f t="shared" si="4"/>
        <v>6' 0"</v>
      </c>
      <c r="N26">
        <f t="shared" si="5"/>
        <v>328</v>
      </c>
      <c r="O26">
        <f t="shared" si="6"/>
        <v>26</v>
      </c>
      <c r="P26">
        <f t="shared" si="6"/>
        <v>29</v>
      </c>
      <c r="Q26">
        <f t="shared" si="6"/>
        <v>22</v>
      </c>
    </row>
    <row r="27" spans="1:17">
      <c r="A27" s="1" t="s">
        <v>97</v>
      </c>
      <c r="B27" s="1"/>
      <c r="C27" s="1" t="s">
        <v>143</v>
      </c>
      <c r="D27" s="1" t="s">
        <v>135</v>
      </c>
      <c r="E27" s="1">
        <f>_xlfn.XLOOKUP(D27,'rank lookup'!$A$1:$A$21,'rank lookup'!$B$1:$B$21,,0)</f>
        <v>11</v>
      </c>
      <c r="F27" s="1"/>
      <c r="G27" s="19">
        <v>189</v>
      </c>
      <c r="H27" s="19">
        <v>154</v>
      </c>
      <c r="I27" s="5">
        <f t="shared" si="0"/>
        <v>43.111894963746821</v>
      </c>
      <c r="J27" s="4">
        <f t="shared" si="1"/>
        <v>74.409448818897644</v>
      </c>
      <c r="K27">
        <f t="shared" si="2"/>
        <v>6</v>
      </c>
      <c r="L27">
        <f t="shared" si="3"/>
        <v>2.4</v>
      </c>
      <c r="M27" t="str">
        <f t="shared" si="4"/>
        <v>6' 2.4"</v>
      </c>
      <c r="N27">
        <f t="shared" si="5"/>
        <v>340</v>
      </c>
      <c r="O27">
        <f t="shared" si="6"/>
        <v>7</v>
      </c>
      <c r="P27">
        <f t="shared" si="6"/>
        <v>24</v>
      </c>
      <c r="Q27">
        <f t="shared" si="6"/>
        <v>29</v>
      </c>
    </row>
    <row r="28" spans="1:17">
      <c r="A28" s="1" t="s">
        <v>104</v>
      </c>
      <c r="B28" s="1"/>
      <c r="C28" s="1" t="s">
        <v>140</v>
      </c>
      <c r="D28" s="1" t="s">
        <v>142</v>
      </c>
      <c r="E28" s="1">
        <f>_xlfn.XLOOKUP(D28,'rank lookup'!$A$1:$A$21,'rank lookup'!$B$1:$B$21,,0)</f>
        <v>12</v>
      </c>
      <c r="F28" s="1"/>
      <c r="G28" s="19">
        <v>186</v>
      </c>
      <c r="H28" s="19">
        <v>166</v>
      </c>
      <c r="I28" s="5">
        <f t="shared" si="0"/>
        <v>47.982425713955372</v>
      </c>
      <c r="J28" s="4">
        <f t="shared" si="1"/>
        <v>73.228346456692918</v>
      </c>
      <c r="K28">
        <f t="shared" si="2"/>
        <v>6</v>
      </c>
      <c r="L28">
        <f t="shared" si="3"/>
        <v>1.2</v>
      </c>
      <c r="M28" t="str">
        <f t="shared" si="4"/>
        <v>6' 1.2"</v>
      </c>
      <c r="N28">
        <f t="shared" si="5"/>
        <v>366</v>
      </c>
      <c r="O28">
        <f t="shared" si="6"/>
        <v>16</v>
      </c>
      <c r="P28">
        <f t="shared" si="6"/>
        <v>14</v>
      </c>
      <c r="Q28">
        <f t="shared" si="6"/>
        <v>18</v>
      </c>
    </row>
    <row r="29" spans="1:17">
      <c r="A29" s="1" t="s">
        <v>87</v>
      </c>
      <c r="B29" s="1">
        <v>1</v>
      </c>
      <c r="C29" s="1" t="s">
        <v>142</v>
      </c>
      <c r="D29" s="1" t="s">
        <v>142</v>
      </c>
      <c r="E29" s="1">
        <f>_xlfn.XLOOKUP(D29,'rank lookup'!$A$1:$A$21,'rank lookup'!$B$1:$B$21,,0)</f>
        <v>12</v>
      </c>
      <c r="F29" s="1"/>
      <c r="G29" s="19">
        <v>192</v>
      </c>
      <c r="H29" s="19">
        <v>179</v>
      </c>
      <c r="I29" s="5">
        <f t="shared" si="0"/>
        <v>48.556857638888893</v>
      </c>
      <c r="J29" s="4">
        <f t="shared" si="1"/>
        <v>75.59055118110237</v>
      </c>
      <c r="K29">
        <f t="shared" si="2"/>
        <v>6</v>
      </c>
      <c r="L29">
        <f t="shared" si="3"/>
        <v>3.6</v>
      </c>
      <c r="M29" t="str">
        <f t="shared" si="4"/>
        <v>6' 3.6"</v>
      </c>
      <c r="N29">
        <f t="shared" si="5"/>
        <v>395</v>
      </c>
      <c r="O29">
        <f t="shared" si="6"/>
        <v>2</v>
      </c>
      <c r="P29">
        <f t="shared" si="6"/>
        <v>6</v>
      </c>
      <c r="Q29">
        <f t="shared" si="6"/>
        <v>16</v>
      </c>
    </row>
    <row r="30" spans="1:17">
      <c r="A30" s="1" t="s">
        <v>93</v>
      </c>
      <c r="B30" s="1"/>
      <c r="C30" s="1" t="s">
        <v>42</v>
      </c>
      <c r="D30" s="1" t="s">
        <v>143</v>
      </c>
      <c r="E30" s="1">
        <f>_xlfn.XLOOKUP(D30,'rank lookup'!$A$1:$A$21,'rank lookup'!$B$1:$B$21,,0)</f>
        <v>13</v>
      </c>
      <c r="F30" s="1"/>
      <c r="G30" s="19">
        <v>187</v>
      </c>
      <c r="H30" s="19">
        <v>151</v>
      </c>
      <c r="I30" s="5">
        <f t="shared" si="0"/>
        <v>43.181103262889984</v>
      </c>
      <c r="J30" s="4">
        <f t="shared" si="1"/>
        <v>73.622047244094489</v>
      </c>
      <c r="K30">
        <f t="shared" si="2"/>
        <v>6</v>
      </c>
      <c r="L30">
        <f t="shared" si="3"/>
        <v>1.6</v>
      </c>
      <c r="M30" t="str">
        <f t="shared" si="4"/>
        <v>6' 1.6"</v>
      </c>
      <c r="N30">
        <f t="shared" si="5"/>
        <v>333</v>
      </c>
      <c r="O30">
        <f t="shared" si="6"/>
        <v>13</v>
      </c>
      <c r="P30">
        <f t="shared" si="6"/>
        <v>27</v>
      </c>
      <c r="Q30">
        <f t="shared" si="6"/>
        <v>28</v>
      </c>
    </row>
    <row r="31" spans="1:17">
      <c r="A31" s="1" t="s">
        <v>101</v>
      </c>
      <c r="B31" s="1"/>
      <c r="C31" s="1" t="s">
        <v>145</v>
      </c>
      <c r="D31" s="1" t="s">
        <v>143</v>
      </c>
      <c r="E31" s="1">
        <f>_xlfn.XLOOKUP(D31,'rank lookup'!$A$1:$A$21,'rank lookup'!$B$1:$B$21,,0)</f>
        <v>13</v>
      </c>
      <c r="F31" s="1"/>
      <c r="G31" s="19">
        <v>184</v>
      </c>
      <c r="H31" s="19">
        <v>167</v>
      </c>
      <c r="I31" s="5">
        <f t="shared" si="0"/>
        <v>49.326559546313803</v>
      </c>
      <c r="J31" s="4">
        <f t="shared" si="1"/>
        <v>72.440944881889763</v>
      </c>
      <c r="K31">
        <f t="shared" si="2"/>
        <v>6</v>
      </c>
      <c r="L31">
        <f t="shared" si="3"/>
        <v>0.4</v>
      </c>
      <c r="M31" t="str">
        <f t="shared" si="4"/>
        <v>6' 0.4"</v>
      </c>
      <c r="N31">
        <f t="shared" si="5"/>
        <v>368</v>
      </c>
      <c r="O31">
        <f t="shared" si="6"/>
        <v>22</v>
      </c>
      <c r="P31">
        <f t="shared" si="6"/>
        <v>12</v>
      </c>
      <c r="Q31">
        <f t="shared" si="6"/>
        <v>10</v>
      </c>
    </row>
    <row r="32" spans="1:17">
      <c r="A32" s="1" t="s">
        <v>91</v>
      </c>
      <c r="B32" s="1"/>
      <c r="C32" s="1" t="s">
        <v>135</v>
      </c>
      <c r="D32" s="1" t="s">
        <v>145</v>
      </c>
      <c r="E32" s="1">
        <f>_xlfn.XLOOKUP(D32,'rank lookup'!$A$1:$A$21,'rank lookup'!$B$1:$B$21,,0)</f>
        <v>14</v>
      </c>
      <c r="F32" s="1"/>
      <c r="G32" s="19">
        <v>190</v>
      </c>
      <c r="H32" s="19">
        <v>186</v>
      </c>
      <c r="I32" s="5">
        <f t="shared" si="0"/>
        <v>51.523545706371188</v>
      </c>
      <c r="J32" s="4">
        <f t="shared" si="1"/>
        <v>74.803149606299215</v>
      </c>
      <c r="K32">
        <f t="shared" si="2"/>
        <v>6</v>
      </c>
      <c r="L32">
        <f t="shared" si="3"/>
        <v>2.8</v>
      </c>
      <c r="M32" t="str">
        <f t="shared" si="4"/>
        <v>6' 2.8"</v>
      </c>
      <c r="N32">
        <f t="shared" si="5"/>
        <v>410</v>
      </c>
      <c r="O32">
        <f t="shared" si="6"/>
        <v>5</v>
      </c>
      <c r="P32">
        <f t="shared" si="6"/>
        <v>3</v>
      </c>
      <c r="Q32">
        <f t="shared" si="6"/>
        <v>7</v>
      </c>
    </row>
    <row r="33" spans="1:17">
      <c r="A33" s="1" t="s">
        <v>110</v>
      </c>
      <c r="B33" s="1"/>
      <c r="C33" s="1" t="s">
        <v>151</v>
      </c>
      <c r="D33" s="1" t="s">
        <v>145</v>
      </c>
      <c r="E33" s="1">
        <f>_xlfn.XLOOKUP(D33,'rank lookup'!$A$1:$A$21,'rank lookup'!$B$1:$B$21,,0)</f>
        <v>14</v>
      </c>
      <c r="F33" s="1"/>
      <c r="G33" s="19">
        <v>183</v>
      </c>
      <c r="H33" s="19">
        <v>135</v>
      </c>
      <c r="I33" s="5">
        <f t="shared" si="0"/>
        <v>40.311744154797097</v>
      </c>
      <c r="J33" s="4">
        <f t="shared" si="1"/>
        <v>72.047244094488192</v>
      </c>
      <c r="K33">
        <f t="shared" si="2"/>
        <v>6</v>
      </c>
      <c r="L33">
        <f t="shared" si="3"/>
        <v>0</v>
      </c>
      <c r="M33" t="str">
        <f t="shared" si="4"/>
        <v>6' 0"</v>
      </c>
      <c r="N33">
        <f t="shared" si="5"/>
        <v>298</v>
      </c>
      <c r="O33">
        <f t="shared" si="6"/>
        <v>26</v>
      </c>
      <c r="P33">
        <f t="shared" si="6"/>
        <v>35</v>
      </c>
      <c r="Q33">
        <f t="shared" si="6"/>
        <v>38</v>
      </c>
    </row>
    <row r="34" spans="1:17">
      <c r="A34" s="1" t="s">
        <v>120</v>
      </c>
      <c r="B34" s="1"/>
      <c r="C34" s="1" t="s">
        <v>135</v>
      </c>
      <c r="D34" s="1" t="s">
        <v>147</v>
      </c>
      <c r="E34" s="1">
        <f>_xlfn.XLOOKUP(D34,'rank lookup'!$A$1:$A$21,'rank lookup'!$B$1:$B$21,,0)</f>
        <v>15</v>
      </c>
      <c r="F34" s="1"/>
      <c r="G34" s="19">
        <v>178</v>
      </c>
      <c r="H34" s="19">
        <v>162</v>
      </c>
      <c r="I34" s="5">
        <f t="shared" si="0"/>
        <v>51.129907839919206</v>
      </c>
      <c r="J34" s="4">
        <f t="shared" si="1"/>
        <v>70.078740157480311</v>
      </c>
      <c r="K34">
        <f t="shared" si="2"/>
        <v>5</v>
      </c>
      <c r="L34">
        <f t="shared" si="3"/>
        <v>10.1</v>
      </c>
      <c r="M34" t="str">
        <f t="shared" si="4"/>
        <v>5' 10.1"</v>
      </c>
      <c r="N34">
        <f t="shared" si="5"/>
        <v>357</v>
      </c>
      <c r="O34">
        <f t="shared" si="6"/>
        <v>35</v>
      </c>
      <c r="P34">
        <f t="shared" si="6"/>
        <v>16</v>
      </c>
      <c r="Q34">
        <f t="shared" si="6"/>
        <v>8</v>
      </c>
    </row>
    <row r="35" spans="1:17">
      <c r="A35" t="s">
        <v>146</v>
      </c>
      <c r="C35" s="1" t="s">
        <v>147</v>
      </c>
      <c r="D35" s="1" t="s">
        <v>147</v>
      </c>
      <c r="E35" s="1">
        <f>_xlfn.XLOOKUP(D35,'rank lookup'!$A$1:$A$21,'rank lookup'!$B$1:$B$21,,0)</f>
        <v>15</v>
      </c>
      <c r="F35" s="1"/>
      <c r="G35" s="19">
        <v>189</v>
      </c>
      <c r="H35" s="19">
        <v>158</v>
      </c>
      <c r="I35" s="5">
        <f t="shared" si="0"/>
        <v>44.23168444332466</v>
      </c>
      <c r="J35" s="4">
        <f t="shared" si="1"/>
        <v>74.409448818897644</v>
      </c>
      <c r="K35">
        <f t="shared" si="2"/>
        <v>6</v>
      </c>
      <c r="L35">
        <f t="shared" si="3"/>
        <v>2.4</v>
      </c>
      <c r="M35" t="str">
        <f t="shared" si="4"/>
        <v>6' 2.4"</v>
      </c>
      <c r="N35">
        <f t="shared" si="5"/>
        <v>348</v>
      </c>
      <c r="O35">
        <f t="shared" si="6"/>
        <v>7</v>
      </c>
      <c r="P35">
        <f t="shared" si="6"/>
        <v>20</v>
      </c>
      <c r="Q35">
        <f t="shared" si="6"/>
        <v>23</v>
      </c>
    </row>
    <row r="36" spans="1:17">
      <c r="A36" s="1" t="s">
        <v>122</v>
      </c>
      <c r="B36" s="1"/>
      <c r="C36" s="1" t="s">
        <v>143</v>
      </c>
      <c r="D36" s="1" t="s">
        <v>148</v>
      </c>
      <c r="E36" s="1">
        <f>_xlfn.XLOOKUP(D36,'rank lookup'!$A$1:$A$21,'rank lookup'!$B$1:$B$21,,0)</f>
        <v>16</v>
      </c>
      <c r="F36" s="1"/>
      <c r="G36" s="19">
        <v>176</v>
      </c>
      <c r="H36" s="19">
        <v>131</v>
      </c>
      <c r="I36" s="5">
        <f t="shared" si="0"/>
        <v>42.290805785123965</v>
      </c>
      <c r="J36" s="4">
        <f t="shared" si="1"/>
        <v>69.29133858267717</v>
      </c>
      <c r="K36">
        <f t="shared" si="2"/>
        <v>5</v>
      </c>
      <c r="L36">
        <f t="shared" si="3"/>
        <v>9.3000000000000007</v>
      </c>
      <c r="M36" t="str">
        <f t="shared" si="4"/>
        <v>5' 9.3"</v>
      </c>
      <c r="N36">
        <f t="shared" si="5"/>
        <v>289</v>
      </c>
      <c r="O36">
        <f t="shared" si="6"/>
        <v>37</v>
      </c>
      <c r="P36">
        <f t="shared" si="6"/>
        <v>40</v>
      </c>
      <c r="Q36">
        <f t="shared" si="6"/>
        <v>33</v>
      </c>
    </row>
    <row r="37" spans="1:17">
      <c r="A37" s="1" t="s">
        <v>113</v>
      </c>
      <c r="B37" s="1"/>
      <c r="C37" s="1" t="s">
        <v>147</v>
      </c>
      <c r="D37" s="1" t="s">
        <v>148</v>
      </c>
      <c r="E37" s="1">
        <f>_xlfn.XLOOKUP(D37,'rank lookup'!$A$1:$A$21,'rank lookup'!$B$1:$B$21,,0)</f>
        <v>16</v>
      </c>
      <c r="F37" s="1"/>
      <c r="G37" s="19">
        <v>181</v>
      </c>
      <c r="H37" s="19">
        <v>189</v>
      </c>
      <c r="I37" s="5">
        <f t="shared" si="0"/>
        <v>57.690546686609082</v>
      </c>
      <c r="J37" s="4">
        <f t="shared" si="1"/>
        <v>71.259842519685037</v>
      </c>
      <c r="K37">
        <f t="shared" si="2"/>
        <v>5</v>
      </c>
      <c r="L37">
        <f t="shared" si="3"/>
        <v>11.3</v>
      </c>
      <c r="M37" t="str">
        <f t="shared" si="4"/>
        <v>5' 11.3"</v>
      </c>
      <c r="N37">
        <f t="shared" si="5"/>
        <v>417</v>
      </c>
      <c r="O37">
        <f t="shared" si="6"/>
        <v>32</v>
      </c>
      <c r="P37">
        <f t="shared" si="6"/>
        <v>2</v>
      </c>
      <c r="Q37">
        <f t="shared" si="6"/>
        <v>2</v>
      </c>
    </row>
    <row r="38" spans="1:17">
      <c r="A38" s="1" t="s">
        <v>90</v>
      </c>
      <c r="B38" s="1"/>
      <c r="C38" s="1" t="s">
        <v>148</v>
      </c>
      <c r="D38" s="1" t="s">
        <v>150</v>
      </c>
      <c r="E38" s="1">
        <f>_xlfn.XLOOKUP(D38,'rank lookup'!$A$1:$A$21,'rank lookup'!$B$1:$B$21,,0)</f>
        <v>17</v>
      </c>
      <c r="F38" s="1"/>
      <c r="G38" s="19">
        <v>189</v>
      </c>
      <c r="H38" s="19">
        <v>156</v>
      </c>
      <c r="I38" s="5">
        <f t="shared" si="0"/>
        <v>43.671789703535737</v>
      </c>
      <c r="J38" s="4">
        <f t="shared" si="1"/>
        <v>74.409448818897644</v>
      </c>
      <c r="K38">
        <f t="shared" si="2"/>
        <v>6</v>
      </c>
      <c r="L38">
        <f t="shared" si="3"/>
        <v>2.4</v>
      </c>
      <c r="M38" t="str">
        <f t="shared" si="4"/>
        <v>6' 2.4"</v>
      </c>
      <c r="N38">
        <f t="shared" si="5"/>
        <v>344</v>
      </c>
      <c r="O38">
        <f t="shared" si="6"/>
        <v>7</v>
      </c>
      <c r="P38">
        <f t="shared" si="6"/>
        <v>22</v>
      </c>
      <c r="Q38">
        <f t="shared" si="6"/>
        <v>27</v>
      </c>
    </row>
    <row r="39" spans="1:17">
      <c r="A39" s="1" t="s">
        <v>88</v>
      </c>
      <c r="B39" s="1"/>
      <c r="C39" s="1" t="s">
        <v>150</v>
      </c>
      <c r="D39" s="1" t="s">
        <v>150</v>
      </c>
      <c r="E39" s="1">
        <f>_xlfn.XLOOKUP(D39,'rank lookup'!$A$1:$A$21,'rank lookup'!$B$1:$B$21,,0)</f>
        <v>17</v>
      </c>
      <c r="F39" s="1"/>
      <c r="G39" s="19">
        <v>189</v>
      </c>
      <c r="H39" s="19">
        <v>176</v>
      </c>
      <c r="I39" s="5">
        <f t="shared" si="0"/>
        <v>49.270737101424935</v>
      </c>
      <c r="J39" s="4">
        <f t="shared" si="1"/>
        <v>74.409448818897644</v>
      </c>
      <c r="K39">
        <f t="shared" si="2"/>
        <v>6</v>
      </c>
      <c r="L39">
        <f t="shared" si="3"/>
        <v>2.4</v>
      </c>
      <c r="M39" t="str">
        <f t="shared" si="4"/>
        <v>6' 2.4"</v>
      </c>
      <c r="N39">
        <f t="shared" si="5"/>
        <v>388</v>
      </c>
      <c r="O39">
        <f t="shared" si="6"/>
        <v>7</v>
      </c>
      <c r="P39">
        <f t="shared" si="6"/>
        <v>8</v>
      </c>
      <c r="Q39">
        <f t="shared" si="6"/>
        <v>12</v>
      </c>
    </row>
    <row r="40" spans="1:17">
      <c r="A40" s="1" t="s">
        <v>98</v>
      </c>
      <c r="B40" s="1"/>
      <c r="C40" s="1" t="s">
        <v>150</v>
      </c>
      <c r="D40" s="1" t="s">
        <v>151</v>
      </c>
      <c r="E40" s="1">
        <f>_xlfn.XLOOKUP(D40,'rank lookup'!$A$1:$A$21,'rank lookup'!$B$1:$B$21,,0)</f>
        <v>18</v>
      </c>
      <c r="F40" s="1"/>
      <c r="G40" s="19">
        <v>187</v>
      </c>
      <c r="H40" s="19">
        <v>145</v>
      </c>
      <c r="I40" s="5">
        <f t="shared" si="0"/>
        <v>41.465297835225485</v>
      </c>
      <c r="J40" s="4">
        <f t="shared" si="1"/>
        <v>73.622047244094489</v>
      </c>
      <c r="K40">
        <f t="shared" si="2"/>
        <v>6</v>
      </c>
      <c r="L40">
        <f t="shared" si="3"/>
        <v>1.6</v>
      </c>
      <c r="M40" t="str">
        <f t="shared" si="4"/>
        <v>6' 1.6"</v>
      </c>
      <c r="N40">
        <f t="shared" si="5"/>
        <v>320</v>
      </c>
      <c r="O40">
        <f t="shared" si="6"/>
        <v>13</v>
      </c>
      <c r="P40">
        <f t="shared" si="6"/>
        <v>31</v>
      </c>
      <c r="Q40">
        <f t="shared" si="6"/>
        <v>35</v>
      </c>
    </row>
    <row r="41" spans="1:17">
      <c r="A41" s="1" t="s">
        <v>166</v>
      </c>
      <c r="D41" t="s">
        <v>151</v>
      </c>
      <c r="E41" s="1">
        <f>_xlfn.XLOOKUP(D41,'rank lookup'!$A$1:$A$21,'rank lookup'!$B$1:$B$21,,0)</f>
        <v>18</v>
      </c>
      <c r="G41" s="19">
        <v>191</v>
      </c>
      <c r="H41" s="19">
        <v>157</v>
      </c>
      <c r="I41" s="5">
        <f t="shared" si="0"/>
        <v>43.036100984073904</v>
      </c>
      <c r="J41" s="4">
        <f t="shared" si="1"/>
        <v>75.196850393700785</v>
      </c>
      <c r="K41">
        <f t="shared" si="2"/>
        <v>6</v>
      </c>
      <c r="L41">
        <f t="shared" si="3"/>
        <v>3.2</v>
      </c>
      <c r="M41" t="str">
        <f t="shared" si="4"/>
        <v>6' 3.2"</v>
      </c>
      <c r="N41">
        <f t="shared" si="5"/>
        <v>346</v>
      </c>
      <c r="O41">
        <f t="shared" si="6"/>
        <v>4</v>
      </c>
      <c r="P41">
        <f t="shared" si="6"/>
        <v>21</v>
      </c>
      <c r="Q41">
        <f t="shared" si="6"/>
        <v>30</v>
      </c>
    </row>
    <row r="42" spans="1:17">
      <c r="A42" s="1" t="s">
        <v>167</v>
      </c>
      <c r="D42" t="s">
        <v>152</v>
      </c>
      <c r="E42" s="1">
        <f>_xlfn.XLOOKUP(D42,'rank lookup'!$A$1:$A$21,'rank lookup'!$B$1:$B$21,,0)</f>
        <v>19</v>
      </c>
      <c r="G42" s="19">
        <v>193</v>
      </c>
      <c r="H42" s="19">
        <v>155</v>
      </c>
      <c r="I42" s="5">
        <f t="shared" ref="I42:I43" si="7">H42/(G42*G42)*10000</f>
        <v>41.611855351821525</v>
      </c>
      <c r="J42" s="4">
        <f t="shared" ref="J42:J43" si="8">CONVERT(G42,"cm","in")</f>
        <v>75.984251968503941</v>
      </c>
      <c r="K42">
        <f t="shared" ref="K42:K43" si="9">_xlfn.FLOOR.MATH(J42/12)</f>
        <v>6</v>
      </c>
      <c r="L42">
        <f t="shared" ref="L42:L43" si="10">ROUND(J42-K42*12,1)</f>
        <v>4</v>
      </c>
      <c r="M42" t="str">
        <f t="shared" ref="M42:M43" si="11">K42&amp;"' "&amp;L42&amp;""""</f>
        <v>6' 4"</v>
      </c>
      <c r="N42">
        <f t="shared" ref="N42:N43" si="12">ROUND(CONVERT(H42,"kg","lbm"),0)</f>
        <v>342</v>
      </c>
      <c r="O42">
        <f t="shared" si="6"/>
        <v>1</v>
      </c>
      <c r="P42">
        <f t="shared" si="6"/>
        <v>23</v>
      </c>
      <c r="Q42">
        <f t="shared" si="6"/>
        <v>34</v>
      </c>
    </row>
    <row r="43" spans="1:17">
      <c r="A43" s="1" t="s">
        <v>168</v>
      </c>
      <c r="D43" t="s">
        <v>152</v>
      </c>
      <c r="E43" s="1">
        <f>_xlfn.XLOOKUP(D43,'rank lookup'!$A$1:$A$21,'rank lookup'!$B$1:$B$21,,0)</f>
        <v>19</v>
      </c>
      <c r="G43" s="19">
        <v>185</v>
      </c>
      <c r="H43" s="19">
        <v>177</v>
      </c>
      <c r="I43" s="5">
        <f t="shared" si="7"/>
        <v>51.716581446311181</v>
      </c>
      <c r="J43" s="4">
        <f t="shared" si="8"/>
        <v>72.834645669291348</v>
      </c>
      <c r="K43">
        <f t="shared" si="9"/>
        <v>6</v>
      </c>
      <c r="L43">
        <f t="shared" si="10"/>
        <v>0.8</v>
      </c>
      <c r="M43" t="str">
        <f t="shared" si="11"/>
        <v>6' 0.8"</v>
      </c>
      <c r="N43">
        <f t="shared" si="12"/>
        <v>390</v>
      </c>
      <c r="O43">
        <f t="shared" si="6"/>
        <v>19</v>
      </c>
      <c r="P43">
        <f t="shared" si="6"/>
        <v>7</v>
      </c>
      <c r="Q43">
        <f t="shared" si="6"/>
        <v>6</v>
      </c>
    </row>
    <row r="44" spans="1:17">
      <c r="A44" s="1" t="s">
        <v>126</v>
      </c>
      <c r="B44" s="1"/>
      <c r="C44" s="1" t="s">
        <v>152</v>
      </c>
      <c r="D44" s="1" t="s">
        <v>154</v>
      </c>
      <c r="E44" s="1">
        <f>_xlfn.XLOOKUP(D44,'rank lookup'!$A$1:$A$21,'rank lookup'!$B$1:$B$21,,0)</f>
        <v>20</v>
      </c>
      <c r="F44" s="1"/>
      <c r="G44" s="19">
        <v>169</v>
      </c>
      <c r="H44" s="19">
        <v>107</v>
      </c>
      <c r="I44" s="5">
        <f>H44/(G44*G44)*10000</f>
        <v>37.463674241098005</v>
      </c>
      <c r="J44" s="4">
        <f>CONVERT(G44,"cm","in")</f>
        <v>66.535433070866134</v>
      </c>
      <c r="K44">
        <f>_xlfn.FLOOR.MATH(J44/12)</f>
        <v>5</v>
      </c>
      <c r="L44">
        <f>ROUND(J44-K44*12,1)</f>
        <v>6.5</v>
      </c>
      <c r="M44" t="str">
        <f>K44&amp;"' "&amp;L44&amp;""""</f>
        <v>5' 6.5"</v>
      </c>
      <c r="N44">
        <f>ROUND(CONVERT(H44,"kg","lbm"),0)</f>
        <v>236</v>
      </c>
      <c r="O44">
        <f t="shared" si="6"/>
        <v>42</v>
      </c>
      <c r="P44">
        <f t="shared" si="6"/>
        <v>42</v>
      </c>
      <c r="Q44">
        <f t="shared" si="6"/>
        <v>42</v>
      </c>
    </row>
    <row r="45" spans="1:17">
      <c r="A45" t="s">
        <v>155</v>
      </c>
      <c r="C45" s="1" t="s">
        <v>154</v>
      </c>
      <c r="D45" s="1" t="s">
        <v>154</v>
      </c>
      <c r="E45" s="1">
        <f>_xlfn.XLOOKUP(D45,'rank lookup'!$A$1:$A$21,'rank lookup'!$B$1:$B$21,,0)</f>
        <v>20</v>
      </c>
      <c r="F45" s="1"/>
      <c r="G45" s="19">
        <v>178</v>
      </c>
      <c r="H45" s="19">
        <v>135</v>
      </c>
      <c r="I45" s="5">
        <f>H45/(G45*G45)*10000</f>
        <v>42.608256533266008</v>
      </c>
      <c r="J45" s="4">
        <f>CONVERT(G45,"cm","in")</f>
        <v>70.078740157480311</v>
      </c>
      <c r="K45">
        <f>_xlfn.FLOOR.MATH(J45/12)</f>
        <v>5</v>
      </c>
      <c r="L45">
        <f>ROUND(J45-K45*12,1)</f>
        <v>10.1</v>
      </c>
      <c r="M45" t="str">
        <f>K45&amp;"' "&amp;L45&amp;""""</f>
        <v>5' 10.1"</v>
      </c>
      <c r="N45">
        <f>ROUND(CONVERT(H45,"kg","lbm"),0)</f>
        <v>298</v>
      </c>
      <c r="O45">
        <f t="shared" si="6"/>
        <v>35</v>
      </c>
      <c r="P45">
        <f t="shared" si="6"/>
        <v>35</v>
      </c>
      <c r="Q45">
        <f t="shared" si="6"/>
        <v>31</v>
      </c>
    </row>
    <row r="46" spans="1:17">
      <c r="A46" s="1" t="s">
        <v>108</v>
      </c>
      <c r="B46" s="1"/>
      <c r="C46" s="1" t="s">
        <v>152</v>
      </c>
      <c r="D46" s="1" t="s">
        <v>170</v>
      </c>
      <c r="E46" s="1" t="e">
        <f>_xlfn.XLOOKUP(D46,'rank lookup'!$A$1:$A$21,'rank lookup'!$B$1:$B$21,,0)</f>
        <v>#N/A</v>
      </c>
      <c r="F46" s="1"/>
      <c r="G46" s="19">
        <v>184</v>
      </c>
      <c r="H46" s="19">
        <v>200</v>
      </c>
      <c r="I46" s="5">
        <f>H46/(G46*G46)*10000</f>
        <v>59.073724007561438</v>
      </c>
      <c r="J46" s="4">
        <f>CONVERT(G46,"cm","in")</f>
        <v>72.440944881889763</v>
      </c>
      <c r="K46">
        <f>_xlfn.FLOOR.MATH(J46/12)</f>
        <v>6</v>
      </c>
      <c r="L46">
        <f>ROUND(J46-K46*12,1)</f>
        <v>0.4</v>
      </c>
      <c r="M46" t="str">
        <f>K46&amp;"' "&amp;L46&amp;""""</f>
        <v>6' 0.4"</v>
      </c>
      <c r="N46">
        <f>ROUND(CONVERT(H46,"kg","lbm"),0)</f>
        <v>441</v>
      </c>
    </row>
    <row r="47" spans="1:17">
      <c r="A47" t="s">
        <v>153</v>
      </c>
      <c r="C47" s="1" t="s">
        <v>154</v>
      </c>
      <c r="D47" s="1" t="s">
        <v>170</v>
      </c>
      <c r="E47" s="1" t="e">
        <f>_xlfn.XLOOKUP(D47,'rank lookup'!$A$1:$A$21,'rank lookup'!$B$1:$B$21,,0)</f>
        <v>#N/A</v>
      </c>
      <c r="F47" s="1"/>
      <c r="G47" s="19">
        <v>190</v>
      </c>
      <c r="H47" s="19">
        <v>197</v>
      </c>
      <c r="I47" s="5">
        <f>H47/(G47*G47)*10000</f>
        <v>54.57063711911357</v>
      </c>
      <c r="J47" s="4">
        <f>CONVERT(G47,"cm","in")</f>
        <v>74.803149606299215</v>
      </c>
      <c r="K47">
        <f>_xlfn.FLOOR.MATH(J47/12)</f>
        <v>6</v>
      </c>
      <c r="L47">
        <f>ROUND(J47-K47*12,1)</f>
        <v>2.8</v>
      </c>
      <c r="M47" t="str">
        <f>K47&amp;"' "&amp;L47&amp;""""</f>
        <v>6' 2.8"</v>
      </c>
      <c r="N47">
        <f>ROUND(CONVERT(H47,"kg","lbm"),0)</f>
        <v>434</v>
      </c>
    </row>
    <row r="48" spans="1:17">
      <c r="A48" s="1" t="s">
        <v>107</v>
      </c>
      <c r="B48" s="1"/>
      <c r="C48" s="1" t="s">
        <v>151</v>
      </c>
      <c r="D48" s="1" t="s">
        <v>169</v>
      </c>
      <c r="E48" s="1" t="e">
        <f>_xlfn.XLOOKUP(D48,'rank lookup'!$A$1:$A$21,'rank lookup'!$B$1:$B$21,,0)</f>
        <v>#N/A</v>
      </c>
      <c r="F48" s="1"/>
      <c r="G48" s="19">
        <v>185</v>
      </c>
      <c r="H48" s="19">
        <v>181</v>
      </c>
      <c r="I48" s="5">
        <f>H48/(G48*G48)*10000</f>
        <v>52.885317750182615</v>
      </c>
      <c r="J48" s="4">
        <f>CONVERT(G48,"cm","in")</f>
        <v>72.834645669291348</v>
      </c>
      <c r="K48">
        <f>_xlfn.FLOOR.MATH(J48/12)</f>
        <v>6</v>
      </c>
      <c r="L48">
        <f>ROUND(J48-K48*12,1)</f>
        <v>0.8</v>
      </c>
      <c r="M48" t="str">
        <f>K48&amp;"' "&amp;L48&amp;""""</f>
        <v>6' 0.8"</v>
      </c>
      <c r="N48">
        <f>ROUND(CONVERT(H48,"kg","lbm"),0)</f>
        <v>399</v>
      </c>
    </row>
  </sheetData>
  <autoFilter ref="A3:N38" xr:uid="{7067DD38-AD06-4250-9520-A2F29B57D9C0}">
    <sortState xmlns:xlrd2="http://schemas.microsoft.com/office/spreadsheetml/2017/richdata2" ref="A4:N48">
      <sortCondition ref="E3:E38"/>
    </sortState>
  </autoFilter>
  <hyperlinks>
    <hyperlink ref="C2" r:id="rId1" xr:uid="{9E619F93-654C-496F-B4AE-BA5E3EB171CA}"/>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2F901-5000-4C2B-AE00-4BA96D54DB07}">
  <dimension ref="A1:B21"/>
  <sheetViews>
    <sheetView workbookViewId="0">
      <selection activeCell="B19" sqref="B19"/>
    </sheetView>
  </sheetViews>
  <sheetFormatPr defaultRowHeight="14.5"/>
  <sheetData>
    <row r="1" spans="1:2">
      <c r="A1" t="s" cm="1">
        <v>42</v>
      </c>
      <c r="B1">
        <v>4</v>
      </c>
    </row>
    <row r="2" spans="1:2">
      <c r="A2" t="s">
        <v>132</v>
      </c>
      <c r="B2" cm="1">
        <f t="array" ref="B2:B17">_xlfn.SEQUENCE(16,1,5)</f>
        <v>5</v>
      </c>
    </row>
    <row r="3" spans="1:2">
      <c r="A3" t="s">
        <v>136</v>
      </c>
      <c r="B3">
        <v>6</v>
      </c>
    </row>
    <row r="4" spans="1:2">
      <c r="A4" t="s">
        <v>137</v>
      </c>
      <c r="B4">
        <v>7</v>
      </c>
    </row>
    <row r="5" spans="1:2">
      <c r="A5" t="s">
        <v>139</v>
      </c>
      <c r="B5">
        <v>8</v>
      </c>
    </row>
    <row r="6" spans="1:2">
      <c r="A6" t="s">
        <v>140</v>
      </c>
      <c r="B6">
        <v>9</v>
      </c>
    </row>
    <row r="7" spans="1:2">
      <c r="A7" t="s">
        <v>141</v>
      </c>
      <c r="B7">
        <v>10</v>
      </c>
    </row>
    <row r="8" spans="1:2">
      <c r="A8" t="s">
        <v>135</v>
      </c>
      <c r="B8">
        <v>11</v>
      </c>
    </row>
    <row r="9" spans="1:2">
      <c r="A9" t="s">
        <v>142</v>
      </c>
      <c r="B9">
        <v>12</v>
      </c>
    </row>
    <row r="10" spans="1:2">
      <c r="A10" t="s">
        <v>143</v>
      </c>
      <c r="B10">
        <v>13</v>
      </c>
    </row>
    <row r="11" spans="1:2">
      <c r="A11" t="s">
        <v>145</v>
      </c>
      <c r="B11">
        <v>14</v>
      </c>
    </row>
    <row r="12" spans="1:2">
      <c r="A12" t="s">
        <v>147</v>
      </c>
      <c r="B12">
        <v>15</v>
      </c>
    </row>
    <row r="13" spans="1:2">
      <c r="A13" t="s">
        <v>148</v>
      </c>
      <c r="B13">
        <v>16</v>
      </c>
    </row>
    <row r="14" spans="1:2">
      <c r="A14" t="s">
        <v>150</v>
      </c>
      <c r="B14">
        <v>17</v>
      </c>
    </row>
    <row r="15" spans="1:2">
      <c r="A15" t="s">
        <v>151</v>
      </c>
      <c r="B15">
        <v>18</v>
      </c>
    </row>
    <row r="16" spans="1:2">
      <c r="A16" t="s">
        <v>152</v>
      </c>
      <c r="B16">
        <v>19</v>
      </c>
    </row>
    <row r="17" spans="1:2">
      <c r="A17" t="s">
        <v>154</v>
      </c>
      <c r="B17">
        <v>20</v>
      </c>
    </row>
    <row r="18" spans="1:2">
      <c r="A18" t="s">
        <v>186</v>
      </c>
      <c r="B18">
        <v>21</v>
      </c>
    </row>
    <row r="19" spans="1:2">
      <c r="A19" t="s">
        <v>39</v>
      </c>
      <c r="B19">
        <v>2</v>
      </c>
    </row>
    <row r="20" spans="1:2">
      <c r="A20" t="s">
        <v>31</v>
      </c>
      <c r="B20">
        <v>3</v>
      </c>
    </row>
    <row r="21" spans="1:2">
      <c r="A21" t="s">
        <v>14</v>
      </c>
      <c r="B21">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A925F-9B6D-46E4-ABB5-54DF9881E168}">
  <sheetPr codeName="Sheet6"/>
  <dimension ref="A2:AG44"/>
  <sheetViews>
    <sheetView workbookViewId="0">
      <selection activeCell="K5" sqref="K5"/>
    </sheetView>
  </sheetViews>
  <sheetFormatPr defaultRowHeight="14.5"/>
  <cols>
    <col min="1" max="3" width="21.1796875" customWidth="1"/>
    <col min="6" max="6" width="11.26953125" bestFit="1" customWidth="1"/>
    <col min="7" max="7" width="9" style="4"/>
    <col min="12" max="13" width="9"/>
    <col min="15" max="33" width="9"/>
  </cols>
  <sheetData>
    <row r="2" spans="1:33">
      <c r="A2" t="s">
        <v>3</v>
      </c>
      <c r="B2" t="s">
        <v>11</v>
      </c>
      <c r="C2" t="s">
        <v>12</v>
      </c>
      <c r="D2" t="s">
        <v>5</v>
      </c>
      <c r="E2" t="s">
        <v>4</v>
      </c>
      <c r="F2" t="s">
        <v>26</v>
      </c>
      <c r="G2" s="4" t="s">
        <v>6</v>
      </c>
      <c r="H2" t="s">
        <v>7</v>
      </c>
      <c r="I2" t="s">
        <v>8</v>
      </c>
      <c r="J2" t="s">
        <v>9</v>
      </c>
      <c r="K2" t="s">
        <v>10</v>
      </c>
      <c r="M2" s="15" t="s">
        <v>52</v>
      </c>
      <c r="O2" t="s">
        <v>53</v>
      </c>
      <c r="P2">
        <v>1</v>
      </c>
      <c r="Q2">
        <f>P2+1</f>
        <v>2</v>
      </c>
      <c r="R2">
        <f t="shared" ref="R2:U2" si="0">Q2+1</f>
        <v>3</v>
      </c>
      <c r="S2">
        <f t="shared" si="0"/>
        <v>4</v>
      </c>
      <c r="T2">
        <f t="shared" si="0"/>
        <v>5</v>
      </c>
      <c r="U2">
        <f t="shared" si="0"/>
        <v>6</v>
      </c>
      <c r="W2">
        <v>1</v>
      </c>
      <c r="X2">
        <f>W2+1</f>
        <v>2</v>
      </c>
      <c r="Y2">
        <f t="shared" ref="Y2:AB2" si="1">X2+1</f>
        <v>3</v>
      </c>
      <c r="Z2">
        <f t="shared" si="1"/>
        <v>4</v>
      </c>
      <c r="AA2">
        <f t="shared" si="1"/>
        <v>5</v>
      </c>
      <c r="AB2">
        <f t="shared" si="1"/>
        <v>6</v>
      </c>
      <c r="AC2" s="14" t="s">
        <v>59</v>
      </c>
      <c r="AG2" s="14"/>
    </row>
    <row r="3" spans="1:33">
      <c r="A3" s="1" t="s">
        <v>85</v>
      </c>
      <c r="C3" s="1" t="s">
        <v>13</v>
      </c>
      <c r="D3" s="2">
        <v>194</v>
      </c>
      <c r="E3" s="2">
        <v>194</v>
      </c>
      <c r="F3" s="5">
        <f>E3/(D3*D3)*10000</f>
        <v>51.546391752577321</v>
      </c>
      <c r="G3" s="4">
        <f>CONVERT(D3,"cm","in")</f>
        <v>76.377952755905511</v>
      </c>
      <c r="H3">
        <f>_xlfn.FLOOR.MATH(G3/12)</f>
        <v>6</v>
      </c>
      <c r="I3">
        <f>ROUND(G3-H3*12,1)</f>
        <v>4.4000000000000004</v>
      </c>
      <c r="J3" t="str">
        <f>H3&amp;"' "&amp;I3&amp;""""</f>
        <v>6' 4.4"</v>
      </c>
      <c r="K3">
        <f>ROUND(CONVERT(E3,"kg","lbm"),0)</f>
        <v>428</v>
      </c>
      <c r="L3">
        <v>1</v>
      </c>
      <c r="M3" s="7" t="e">
        <f t="array" aca="1" ref="M3:M44" ca="1">[1]!ClustAnal(D3:F44,P7,P11,P9,,P13)</f>
        <v>#NAME?</v>
      </c>
      <c r="O3" t="s">
        <v>57</v>
      </c>
      <c r="P3" s="10" t="e">
        <f ca="1">AVERAGEIF($M$3:$M$44,P$2,$D$3:$D$44)</f>
        <v>#DIV/0!</v>
      </c>
      <c r="Q3" s="10" t="e">
        <f t="shared" ref="Q3:U3" ca="1" si="2">AVERAGEIF($M$3:$M$44,Q$2,$D$3:$D$44)</f>
        <v>#DIV/0!</v>
      </c>
      <c r="R3" s="10" t="e">
        <f t="shared" ca="1" si="2"/>
        <v>#DIV/0!</v>
      </c>
      <c r="S3" s="10" t="e">
        <f t="shared" ca="1" si="2"/>
        <v>#DIV/0!</v>
      </c>
      <c r="T3" s="10" t="e">
        <f t="shared" ca="1" si="2"/>
        <v>#DIV/0!</v>
      </c>
      <c r="U3" s="7" t="e">
        <f t="shared" ca="1" si="2"/>
        <v>#DIV/0!</v>
      </c>
      <c r="W3" s="10" t="e">
        <f t="array" aca="1" ref="W3" ca="1">SUM(ABS(TRANSPOSE($D3:$F3)-P$3:P$5)^$P$9)</f>
        <v>#DIV/0!</v>
      </c>
      <c r="X3" s="10" t="e">
        <f t="array" aca="1" ref="X3" ca="1">SUM(ABS(TRANSPOSE($D3:$F3)-Q$3:Q$5)^$P$9)</f>
        <v>#DIV/0!</v>
      </c>
      <c r="Y3" s="10" t="e">
        <f t="array" aca="1" ref="Y3" ca="1">SUM(ABS(TRANSPOSE($D3:$F3)-R$3:R$5)^$P$9)</f>
        <v>#DIV/0!</v>
      </c>
      <c r="Z3" s="10" t="e">
        <f t="array" aca="1" ref="Z3" ca="1">SUM(ABS(TRANSPOSE($D3:$F3)-S$3:S$5)^$P$9)</f>
        <v>#DIV/0!</v>
      </c>
      <c r="AA3" s="10" t="e">
        <f t="array" aca="1" ref="AA3" ca="1">SUM(ABS(TRANSPOSE($D3:$F3)-T$3:T$5)^$P$9)</f>
        <v>#DIV/0!</v>
      </c>
      <c r="AB3" s="7" t="e">
        <f t="array" aca="1" ref="AB3" ca="1">SUM(ABS(TRANSPOSE($D3:$F3)-U$3:U$5)^$P$9)</f>
        <v>#DIV/0!</v>
      </c>
      <c r="AC3" s="7" t="e">
        <f ca="1">MIN(W3:AB3)</f>
        <v>#DIV/0!</v>
      </c>
    </row>
    <row r="4" spans="1:33">
      <c r="A4" s="1" t="s">
        <v>86</v>
      </c>
      <c r="B4" s="1">
        <v>5</v>
      </c>
      <c r="C4" s="1" t="s">
        <v>14</v>
      </c>
      <c r="D4" s="2">
        <v>192</v>
      </c>
      <c r="E4" s="2">
        <v>184</v>
      </c>
      <c r="F4" s="5">
        <f t="shared" ref="F4:F44" si="3">E4/(D4*D4)*10000</f>
        <v>49.913194444444443</v>
      </c>
      <c r="G4" s="4">
        <f t="shared" ref="G4:G44" si="4">CONVERT(D4,"cm","in")</f>
        <v>75.59055118110237</v>
      </c>
      <c r="H4">
        <f t="shared" ref="H4:H44" si="5">_xlfn.FLOOR.MATH(G4/12)</f>
        <v>6</v>
      </c>
      <c r="I4">
        <f t="shared" ref="I4:I44" si="6">ROUND(G4-H4*12,1)</f>
        <v>3.6</v>
      </c>
      <c r="J4" t="str">
        <f t="shared" ref="J4:J44" si="7">H4&amp;"' "&amp;I4&amp;""""</f>
        <v>6' 3.6"</v>
      </c>
      <c r="K4">
        <f t="shared" ref="K4:K44" si="8">ROUND(CONVERT(E4,"kg","lbm"),0)</f>
        <v>406</v>
      </c>
      <c r="L4">
        <f>L3+1</f>
        <v>2</v>
      </c>
      <c r="M4" s="8" t="e">
        <f ca="1"/>
        <v>#NAME?</v>
      </c>
      <c r="O4" t="s">
        <v>58</v>
      </c>
      <c r="P4" s="11" t="e">
        <f ca="1">AVERAGEIF($M$3:$M$44,P$2,$E$3:$E$44)</f>
        <v>#DIV/0!</v>
      </c>
      <c r="Q4" s="11" t="e">
        <f t="shared" ref="Q4:U4" ca="1" si="9">AVERAGEIF($M$3:$M$44,Q$2,$E$3:$E$44)</f>
        <v>#DIV/0!</v>
      </c>
      <c r="R4" s="11" t="e">
        <f t="shared" ca="1" si="9"/>
        <v>#DIV/0!</v>
      </c>
      <c r="S4" s="11" t="e">
        <f t="shared" ca="1" si="9"/>
        <v>#DIV/0!</v>
      </c>
      <c r="T4" s="11" t="e">
        <f t="shared" ca="1" si="9"/>
        <v>#DIV/0!</v>
      </c>
      <c r="U4" s="9" t="e">
        <f t="shared" ca="1" si="9"/>
        <v>#DIV/0!</v>
      </c>
      <c r="W4" s="10" t="e">
        <f t="array" aca="1" ref="W4" ca="1">SUM(ABS(TRANSPOSE($D4:$F4)-P$3:P$5)^$P$9)</f>
        <v>#DIV/0!</v>
      </c>
      <c r="X4" s="10" t="e">
        <f t="array" aca="1" ref="X4" ca="1">SUM(ABS(TRANSPOSE($D4:$F4)-Q$3:Q$5)^$P$9)</f>
        <v>#DIV/0!</v>
      </c>
      <c r="Y4" s="10" t="e">
        <f t="array" aca="1" ref="Y4" ca="1">SUM(ABS(TRANSPOSE($D4:$F4)-R$3:R$5)^$P$9)</f>
        <v>#DIV/0!</v>
      </c>
      <c r="Z4" s="10" t="e">
        <f t="array" aca="1" ref="Z4" ca="1">SUM(ABS(TRANSPOSE($D4:$F4)-S$3:S$5)^$P$9)</f>
        <v>#DIV/0!</v>
      </c>
      <c r="AA4" s="10" t="e">
        <f t="array" aca="1" ref="AA4" ca="1">SUM(ABS(TRANSPOSE($D4:$F4)-T$3:T$5)^$P$9)</f>
        <v>#DIV/0!</v>
      </c>
      <c r="AB4" s="7" t="e">
        <f t="array" aca="1" ref="AB4" ca="1">SUM(ABS(TRANSPOSE($D4:$F4)-U$3:U$5)^$P$9)</f>
        <v>#DIV/0!</v>
      </c>
      <c r="AC4" s="7" t="e">
        <f t="shared" ref="AC4:AC44" ca="1" si="10">MIN(W4:AB4)</f>
        <v>#DIV/0!</v>
      </c>
    </row>
    <row r="5" spans="1:33">
      <c r="A5" s="1" t="s">
        <v>87</v>
      </c>
      <c r="B5" s="1">
        <v>1</v>
      </c>
      <c r="C5" s="1" t="s">
        <v>15</v>
      </c>
      <c r="D5" s="2">
        <v>191</v>
      </c>
      <c r="E5" s="2">
        <v>182</v>
      </c>
      <c r="F5" s="5">
        <f t="shared" si="3"/>
        <v>49.888983306378663</v>
      </c>
      <c r="G5" s="4">
        <f t="shared" si="4"/>
        <v>75.196850393700785</v>
      </c>
      <c r="H5">
        <f t="shared" si="5"/>
        <v>6</v>
      </c>
      <c r="I5">
        <f t="shared" si="6"/>
        <v>3.2</v>
      </c>
      <c r="J5" t="str">
        <f t="shared" si="7"/>
        <v>6' 3.2"</v>
      </c>
      <c r="K5">
        <f t="shared" si="8"/>
        <v>401</v>
      </c>
      <c r="L5">
        <f t="shared" ref="L5:L44" si="11">L4+1</f>
        <v>3</v>
      </c>
      <c r="M5" s="8" t="e">
        <f ca="1"/>
        <v>#NAME?</v>
      </c>
      <c r="O5" t="s">
        <v>84</v>
      </c>
      <c r="P5" s="11" t="e">
        <f ca="1">AVERAGEIF($M$3:$M$44,P$2,$F$3:$F$44)</f>
        <v>#DIV/0!</v>
      </c>
      <c r="Q5" s="12" t="e">
        <f t="shared" ref="Q5:U5" ca="1" si="12">AVERAGEIF($M$3:$M$44,Q$2,$F$3:$F$44)</f>
        <v>#DIV/0!</v>
      </c>
      <c r="R5" s="12" t="e">
        <f t="shared" ca="1" si="12"/>
        <v>#DIV/0!</v>
      </c>
      <c r="S5" s="12" t="e">
        <f t="shared" ca="1" si="12"/>
        <v>#DIV/0!</v>
      </c>
      <c r="T5" s="12" t="e">
        <f t="shared" ca="1" si="12"/>
        <v>#DIV/0!</v>
      </c>
      <c r="U5" s="13" t="e">
        <f t="shared" ca="1" si="12"/>
        <v>#DIV/0!</v>
      </c>
      <c r="W5" s="10" t="e">
        <f t="array" aca="1" ref="W5" ca="1">SUM(ABS(TRANSPOSE($D5:$F5)-P$3:P$5)^$P$9)</f>
        <v>#DIV/0!</v>
      </c>
      <c r="X5" s="10" t="e">
        <f t="array" aca="1" ref="X5" ca="1">SUM(ABS(TRANSPOSE($D5:$F5)-Q$3:Q$5)^$P$9)</f>
        <v>#DIV/0!</v>
      </c>
      <c r="Y5" s="10" t="e">
        <f t="array" aca="1" ref="Y5" ca="1">SUM(ABS(TRANSPOSE($D5:$F5)-R$3:R$5)^$P$9)</f>
        <v>#DIV/0!</v>
      </c>
      <c r="Z5" s="10" t="e">
        <f t="array" aca="1" ref="Z5" ca="1">SUM(ABS(TRANSPOSE($D5:$F5)-S$3:S$5)^$P$9)</f>
        <v>#DIV/0!</v>
      </c>
      <c r="AA5" s="10" t="e">
        <f t="array" aca="1" ref="AA5" ca="1">SUM(ABS(TRANSPOSE($D5:$F5)-T$3:T$5)^$P$9)</f>
        <v>#DIV/0!</v>
      </c>
      <c r="AB5" s="7" t="e">
        <f t="array" aca="1" ref="AB5" ca="1">SUM(ABS(TRANSPOSE($D5:$F5)-U$3:U$5)^$P$9)</f>
        <v>#DIV/0!</v>
      </c>
      <c r="AC5" s="7" t="e">
        <f t="shared" ca="1" si="10"/>
        <v>#DIV/0!</v>
      </c>
    </row>
    <row r="6" spans="1:33">
      <c r="A6" s="1" t="s">
        <v>88</v>
      </c>
      <c r="B6" s="1"/>
      <c r="C6" s="1" t="s">
        <v>16</v>
      </c>
      <c r="D6" s="2">
        <v>191</v>
      </c>
      <c r="E6" s="2">
        <v>182</v>
      </c>
      <c r="F6" s="5">
        <f t="shared" si="3"/>
        <v>49.888983306378663</v>
      </c>
      <c r="G6" s="4">
        <f t="shared" si="4"/>
        <v>75.196850393700785</v>
      </c>
      <c r="H6">
        <f t="shared" si="5"/>
        <v>6</v>
      </c>
      <c r="I6">
        <f t="shared" si="6"/>
        <v>3.2</v>
      </c>
      <c r="J6" t="str">
        <f t="shared" si="7"/>
        <v>6' 3.2"</v>
      </c>
      <c r="K6">
        <f t="shared" si="8"/>
        <v>401</v>
      </c>
      <c r="L6" s="14">
        <f t="shared" si="11"/>
        <v>4</v>
      </c>
      <c r="M6" s="8" t="e">
        <f ca="1"/>
        <v>#NAME?</v>
      </c>
      <c r="O6" t="s">
        <v>54</v>
      </c>
      <c r="P6" s="6">
        <v>6</v>
      </c>
      <c r="W6" s="10" t="e">
        <f t="array" aca="1" ref="W6" ca="1">SUM(ABS(TRANSPOSE($D6:$F6)-P$3:P$5)^$P$9)</f>
        <v>#DIV/0!</v>
      </c>
      <c r="X6" s="10" t="e">
        <f t="array" aca="1" ref="X6" ca="1">SUM(ABS(TRANSPOSE($D6:$F6)-Q$3:Q$5)^$P$9)</f>
        <v>#DIV/0!</v>
      </c>
      <c r="Y6" s="10" t="e">
        <f t="array" aca="1" ref="Y6" ca="1">SUM(ABS(TRANSPOSE($D6:$F6)-R$3:R$5)^$P$9)</f>
        <v>#DIV/0!</v>
      </c>
      <c r="Z6" s="10" t="e">
        <f t="array" aca="1" ref="Z6" ca="1">SUM(ABS(TRANSPOSE($D6:$F6)-S$3:S$5)^$P$9)</f>
        <v>#DIV/0!</v>
      </c>
      <c r="AA6" s="10" t="e">
        <f t="array" aca="1" ref="AA6" ca="1">SUM(ABS(TRANSPOSE($D6:$F6)-T$3:T$5)^$P$9)</f>
        <v>#DIV/0!</v>
      </c>
      <c r="AB6" s="7" t="e">
        <f t="array" aca="1" ref="AB6" ca="1">SUM(ABS(TRANSPOSE($D6:$F6)-U$3:U$5)^$P$9)</f>
        <v>#DIV/0!</v>
      </c>
      <c r="AC6" s="7" t="e">
        <f t="shared" ca="1" si="10"/>
        <v>#DIV/0!</v>
      </c>
    </row>
    <row r="7" spans="1:33">
      <c r="A7" s="1" t="s">
        <v>89</v>
      </c>
      <c r="B7" s="1"/>
      <c r="C7" s="1" t="s">
        <v>22</v>
      </c>
      <c r="D7" s="2">
        <v>190</v>
      </c>
      <c r="E7" s="2">
        <v>206</v>
      </c>
      <c r="F7" s="5">
        <f t="shared" si="3"/>
        <v>57.063711911357338</v>
      </c>
      <c r="G7" s="4">
        <f t="shared" si="4"/>
        <v>74.803149606299215</v>
      </c>
      <c r="H7">
        <f t="shared" si="5"/>
        <v>6</v>
      </c>
      <c r="I7">
        <f t="shared" si="6"/>
        <v>2.8</v>
      </c>
      <c r="J7" t="str">
        <f t="shared" si="7"/>
        <v>6' 2.8"</v>
      </c>
      <c r="K7">
        <f t="shared" si="8"/>
        <v>454</v>
      </c>
      <c r="L7">
        <f t="shared" si="11"/>
        <v>5</v>
      </c>
      <c r="M7" s="8" t="e">
        <f ca="1"/>
        <v>#NAME?</v>
      </c>
      <c r="O7" t="s">
        <v>54</v>
      </c>
      <c r="P7" s="6">
        <v>6</v>
      </c>
      <c r="W7" s="10" t="e">
        <f t="array" aca="1" ref="W7" ca="1">SUM(ABS(TRANSPOSE($D7:$F7)-P$3:P$5)^$P$9)</f>
        <v>#DIV/0!</v>
      </c>
      <c r="X7" s="10" t="e">
        <f t="array" aca="1" ref="X7" ca="1">SUM(ABS(TRANSPOSE($D7:$F7)-Q$3:Q$5)^$P$9)</f>
        <v>#DIV/0!</v>
      </c>
      <c r="Y7" s="10" t="e">
        <f t="array" aca="1" ref="Y7" ca="1">SUM(ABS(TRANSPOSE($D7:$F7)-R$3:R$5)^$P$9)</f>
        <v>#DIV/0!</v>
      </c>
      <c r="Z7" s="10" t="e">
        <f t="array" aca="1" ref="Z7" ca="1">SUM(ABS(TRANSPOSE($D7:$F7)-S$3:S$5)^$P$9)</f>
        <v>#DIV/0!</v>
      </c>
      <c r="AA7" s="10" t="e">
        <f t="array" aca="1" ref="AA7" ca="1">SUM(ABS(TRANSPOSE($D7:$F7)-T$3:T$5)^$P$9)</f>
        <v>#DIV/0!</v>
      </c>
      <c r="AB7" s="7" t="e">
        <f t="array" aca="1" ref="AB7" ca="1">SUM(ABS(TRANSPOSE($D7:$F7)-U$3:U$5)^$P$9)</f>
        <v>#DIV/0!</v>
      </c>
      <c r="AC7" s="7" t="e">
        <f t="shared" ca="1" si="10"/>
        <v>#DIV/0!</v>
      </c>
    </row>
    <row r="8" spans="1:33">
      <c r="A8" s="1" t="s">
        <v>90</v>
      </c>
      <c r="B8" s="1"/>
      <c r="C8" s="1" t="s">
        <v>23</v>
      </c>
      <c r="D8" s="2">
        <v>190</v>
      </c>
      <c r="E8" s="2">
        <v>158</v>
      </c>
      <c r="F8" s="5">
        <f t="shared" si="3"/>
        <v>43.767313019390578</v>
      </c>
      <c r="G8" s="4">
        <f t="shared" si="4"/>
        <v>74.803149606299215</v>
      </c>
      <c r="H8">
        <f t="shared" si="5"/>
        <v>6</v>
      </c>
      <c r="I8">
        <f t="shared" si="6"/>
        <v>2.8</v>
      </c>
      <c r="J8" t="str">
        <f t="shared" si="7"/>
        <v>6' 2.8"</v>
      </c>
      <c r="K8">
        <f t="shared" si="8"/>
        <v>348</v>
      </c>
      <c r="L8">
        <f t="shared" si="11"/>
        <v>6</v>
      </c>
      <c r="M8" s="8" t="e">
        <f ca="1"/>
        <v>#NAME?</v>
      </c>
      <c r="O8" t="s">
        <v>55</v>
      </c>
      <c r="P8" s="6">
        <v>2</v>
      </c>
      <c r="W8" s="10" t="e">
        <f t="array" aca="1" ref="W8" ca="1">SUM(ABS(TRANSPOSE($D8:$F8)-P$3:P$5)^$P$9)</f>
        <v>#DIV/0!</v>
      </c>
      <c r="X8" s="10" t="e">
        <f t="array" aca="1" ref="X8" ca="1">SUM(ABS(TRANSPOSE($D8:$F8)-Q$3:Q$5)^$P$9)</f>
        <v>#DIV/0!</v>
      </c>
      <c r="Y8" s="10" t="e">
        <f t="array" aca="1" ref="Y8" ca="1">SUM(ABS(TRANSPOSE($D8:$F8)-R$3:R$5)^$P$9)</f>
        <v>#DIV/0!</v>
      </c>
      <c r="Z8" s="10" t="e">
        <f t="array" aca="1" ref="Z8" ca="1">SUM(ABS(TRANSPOSE($D8:$F8)-S$3:S$5)^$P$9)</f>
        <v>#DIV/0!</v>
      </c>
      <c r="AA8" s="10" t="e">
        <f t="array" aca="1" ref="AA8" ca="1">SUM(ABS(TRANSPOSE($D8:$F8)-T$3:T$5)^$P$9)</f>
        <v>#DIV/0!</v>
      </c>
      <c r="AB8" s="7" t="e">
        <f t="array" aca="1" ref="AB8" ca="1">SUM(ABS(TRANSPOSE($D8:$F8)-U$3:U$5)^$P$9)</f>
        <v>#DIV/0!</v>
      </c>
      <c r="AC8" s="7" t="e">
        <f t="shared" ca="1" si="10"/>
        <v>#DIV/0!</v>
      </c>
    </row>
    <row r="9" spans="1:33">
      <c r="A9" s="1" t="s">
        <v>91</v>
      </c>
      <c r="B9" s="1"/>
      <c r="C9" s="1" t="s">
        <v>19</v>
      </c>
      <c r="D9" s="2">
        <v>190</v>
      </c>
      <c r="E9" s="2">
        <v>183</v>
      </c>
      <c r="F9" s="5">
        <f t="shared" si="3"/>
        <v>50.692520775623272</v>
      </c>
      <c r="G9" s="4">
        <f t="shared" si="4"/>
        <v>74.803149606299215</v>
      </c>
      <c r="H9">
        <f t="shared" si="5"/>
        <v>6</v>
      </c>
      <c r="I9">
        <f t="shared" si="6"/>
        <v>2.8</v>
      </c>
      <c r="J9" t="str">
        <f t="shared" si="7"/>
        <v>6' 2.8"</v>
      </c>
      <c r="K9">
        <f t="shared" si="8"/>
        <v>403</v>
      </c>
      <c r="L9">
        <f t="shared" si="11"/>
        <v>7</v>
      </c>
      <c r="M9" s="8" t="e">
        <f ca="1"/>
        <v>#NAME?</v>
      </c>
      <c r="O9" t="s">
        <v>55</v>
      </c>
      <c r="P9" s="6">
        <v>2</v>
      </c>
      <c r="W9" s="10" t="e">
        <f t="array" aca="1" ref="W9" ca="1">SUM(ABS(TRANSPOSE($D9:$F9)-P$3:P$5)^$P$9)</f>
        <v>#DIV/0!</v>
      </c>
      <c r="X9" s="10" t="e">
        <f t="array" aca="1" ref="X9" ca="1">SUM(ABS(TRANSPOSE($D9:$F9)-Q$3:Q$5)^$P$9)</f>
        <v>#DIV/0!</v>
      </c>
      <c r="Y9" s="10" t="e">
        <f t="array" aca="1" ref="Y9" ca="1">SUM(ABS(TRANSPOSE($D9:$F9)-R$3:R$5)^$P$9)</f>
        <v>#DIV/0!</v>
      </c>
      <c r="Z9" s="10" t="e">
        <f t="array" aca="1" ref="Z9" ca="1">SUM(ABS(TRANSPOSE($D9:$F9)-S$3:S$5)^$P$9)</f>
        <v>#DIV/0!</v>
      </c>
      <c r="AA9" s="10" t="e">
        <f t="array" aca="1" ref="AA9" ca="1">SUM(ABS(TRANSPOSE($D9:$F9)-T$3:T$5)^$P$9)</f>
        <v>#DIV/0!</v>
      </c>
      <c r="AB9" s="7" t="e">
        <f t="array" aca="1" ref="AB9" ca="1">SUM(ABS(TRANSPOSE($D9:$F9)-U$3:U$5)^$P$9)</f>
        <v>#DIV/0!</v>
      </c>
      <c r="AC9" s="7" t="e">
        <f t="shared" ca="1" si="10"/>
        <v>#DIV/0!</v>
      </c>
    </row>
    <row r="10" spans="1:33">
      <c r="A10" s="1" t="s">
        <v>92</v>
      </c>
      <c r="B10" s="1">
        <v>1</v>
      </c>
      <c r="C10" s="1" t="s">
        <v>24</v>
      </c>
      <c r="D10" s="2">
        <v>189</v>
      </c>
      <c r="E10" s="2">
        <v>172</v>
      </c>
      <c r="F10" s="5">
        <f t="shared" si="3"/>
        <v>48.150947621847095</v>
      </c>
      <c r="G10" s="4">
        <f t="shared" si="4"/>
        <v>74.409448818897644</v>
      </c>
      <c r="H10">
        <f t="shared" si="5"/>
        <v>6</v>
      </c>
      <c r="I10">
        <f t="shared" si="6"/>
        <v>2.4</v>
      </c>
      <c r="J10" t="str">
        <f t="shared" si="7"/>
        <v>6' 2.4"</v>
      </c>
      <c r="K10">
        <f t="shared" si="8"/>
        <v>379</v>
      </c>
      <c r="L10">
        <f t="shared" si="11"/>
        <v>8</v>
      </c>
      <c r="M10" s="8" t="e">
        <f ca="1"/>
        <v>#NAME?</v>
      </c>
      <c r="O10" t="s">
        <v>56</v>
      </c>
      <c r="P10" s="6">
        <v>40</v>
      </c>
      <c r="W10" s="10" t="e">
        <f t="array" aca="1" ref="W10" ca="1">SUM(ABS(TRANSPOSE($D10:$F10)-P$3:P$5)^$P$9)</f>
        <v>#DIV/0!</v>
      </c>
      <c r="X10" s="10" t="e">
        <f t="array" aca="1" ref="X10" ca="1">SUM(ABS(TRANSPOSE($D10:$F10)-Q$3:Q$5)^$P$9)</f>
        <v>#DIV/0!</v>
      </c>
      <c r="Y10" s="10" t="e">
        <f t="array" aca="1" ref="Y10" ca="1">SUM(ABS(TRANSPOSE($D10:$F10)-R$3:R$5)^$P$9)</f>
        <v>#DIV/0!</v>
      </c>
      <c r="Z10" s="10" t="e">
        <f t="array" aca="1" ref="Z10" ca="1">SUM(ABS(TRANSPOSE($D10:$F10)-S$3:S$5)^$P$9)</f>
        <v>#DIV/0!</v>
      </c>
      <c r="AA10" s="10" t="e">
        <f t="array" aca="1" ref="AA10" ca="1">SUM(ABS(TRANSPOSE($D10:$F10)-T$3:T$5)^$P$9)</f>
        <v>#DIV/0!</v>
      </c>
      <c r="AB10" s="7" t="e">
        <f t="array" aca="1" ref="AB10" ca="1">SUM(ABS(TRANSPOSE($D10:$F10)-U$3:U$5)^$P$9)</f>
        <v>#DIV/0!</v>
      </c>
      <c r="AC10" s="7" t="e">
        <f t="shared" ca="1" si="10"/>
        <v>#DIV/0!</v>
      </c>
    </row>
    <row r="11" spans="1:33">
      <c r="A11" s="1" t="s">
        <v>93</v>
      </c>
      <c r="B11" s="1"/>
      <c r="C11" s="1" t="s">
        <v>25</v>
      </c>
      <c r="D11" s="2">
        <v>188</v>
      </c>
      <c r="E11" s="2">
        <v>154</v>
      </c>
      <c r="F11" s="5">
        <f t="shared" si="3"/>
        <v>43.571751923947488</v>
      </c>
      <c r="G11" s="4">
        <f t="shared" si="4"/>
        <v>74.015748031496059</v>
      </c>
      <c r="H11">
        <f t="shared" si="5"/>
        <v>6</v>
      </c>
      <c r="I11">
        <f t="shared" si="6"/>
        <v>2</v>
      </c>
      <c r="J11" t="str">
        <f t="shared" si="7"/>
        <v>6' 2"</v>
      </c>
      <c r="K11">
        <f t="shared" si="8"/>
        <v>340</v>
      </c>
      <c r="L11">
        <f t="shared" si="11"/>
        <v>9</v>
      </c>
      <c r="M11" s="8" t="e">
        <f ca="1"/>
        <v>#NAME?</v>
      </c>
      <c r="O11" t="s">
        <v>56</v>
      </c>
      <c r="P11" s="6">
        <v>40</v>
      </c>
      <c r="W11" s="10" t="e">
        <f t="array" aca="1" ref="W11" ca="1">SUM(ABS(TRANSPOSE($D11:$F11)-P$3:P$5)^$P$9)</f>
        <v>#DIV/0!</v>
      </c>
      <c r="X11" s="10" t="e">
        <f t="array" aca="1" ref="X11" ca="1">SUM(ABS(TRANSPOSE($D11:$F11)-Q$3:Q$5)^$P$9)</f>
        <v>#DIV/0!</v>
      </c>
      <c r="Y11" s="10" t="e">
        <f t="array" aca="1" ref="Y11" ca="1">SUM(ABS(TRANSPOSE($D11:$F11)-R$3:R$5)^$P$9)</f>
        <v>#DIV/0!</v>
      </c>
      <c r="Z11" s="10" t="e">
        <f t="array" aca="1" ref="Z11" ca="1">SUM(ABS(TRANSPOSE($D11:$F11)-S$3:S$5)^$P$9)</f>
        <v>#DIV/0!</v>
      </c>
      <c r="AA11" s="10" t="e">
        <f t="array" aca="1" ref="AA11" ca="1">SUM(ABS(TRANSPOSE($D11:$F11)-T$3:T$5)^$P$9)</f>
        <v>#DIV/0!</v>
      </c>
      <c r="AB11" s="7" t="e">
        <f t="array" aca="1" ref="AB11" ca="1">SUM(ABS(TRANSPOSE($D11:$F11)-U$3:U$5)^$P$9)</f>
        <v>#DIV/0!</v>
      </c>
      <c r="AC11" s="7" t="e">
        <f t="shared" ca="1" si="10"/>
        <v>#DIV/0!</v>
      </c>
    </row>
    <row r="12" spans="1:33">
      <c r="A12" s="1" t="s">
        <v>94</v>
      </c>
      <c r="B12" s="1"/>
      <c r="C12" s="1" t="s">
        <v>21</v>
      </c>
      <c r="D12" s="2">
        <v>188</v>
      </c>
      <c r="E12" s="2">
        <v>165</v>
      </c>
      <c r="F12" s="5">
        <f t="shared" si="3"/>
        <v>46.684019918515169</v>
      </c>
      <c r="G12" s="4">
        <f t="shared" si="4"/>
        <v>74.015748031496059</v>
      </c>
      <c r="H12">
        <f t="shared" si="5"/>
        <v>6</v>
      </c>
      <c r="I12">
        <f t="shared" si="6"/>
        <v>2</v>
      </c>
      <c r="J12" t="str">
        <f t="shared" si="7"/>
        <v>6' 2"</v>
      </c>
      <c r="K12">
        <f t="shared" si="8"/>
        <v>364</v>
      </c>
      <c r="L12">
        <f t="shared" si="11"/>
        <v>10</v>
      </c>
      <c r="M12" s="8" t="e">
        <f ca="1"/>
        <v>#NAME?</v>
      </c>
      <c r="O12" t="s">
        <v>60</v>
      </c>
      <c r="P12" s="6">
        <v>500</v>
      </c>
      <c r="W12" s="10" t="e">
        <f t="array" aca="1" ref="W12" ca="1">SUM(ABS(TRANSPOSE($D12:$F12)-P$3:P$5)^$P$9)</f>
        <v>#DIV/0!</v>
      </c>
      <c r="X12" s="10" t="e">
        <f t="array" aca="1" ref="X12" ca="1">SUM(ABS(TRANSPOSE($D12:$F12)-Q$3:Q$5)^$P$9)</f>
        <v>#DIV/0!</v>
      </c>
      <c r="Y12" s="10" t="e">
        <f t="array" aca="1" ref="Y12" ca="1">SUM(ABS(TRANSPOSE($D12:$F12)-R$3:R$5)^$P$9)</f>
        <v>#DIV/0!</v>
      </c>
      <c r="Z12" s="10" t="e">
        <f t="array" aca="1" ref="Z12" ca="1">SUM(ABS(TRANSPOSE($D12:$F12)-S$3:S$5)^$P$9)</f>
        <v>#DIV/0!</v>
      </c>
      <c r="AA12" s="10" t="e">
        <f t="array" aca="1" ref="AA12" ca="1">SUM(ABS(TRANSPOSE($D12:$F12)-T$3:T$5)^$P$9)</f>
        <v>#DIV/0!</v>
      </c>
      <c r="AB12" s="7" t="e">
        <f t="array" aca="1" ref="AB12" ca="1">SUM(ABS(TRANSPOSE($D12:$F12)-U$3:U$5)^$P$9)</f>
        <v>#DIV/0!</v>
      </c>
      <c r="AC12" s="7" t="e">
        <f t="shared" ca="1" si="10"/>
        <v>#DIV/0!</v>
      </c>
    </row>
    <row r="13" spans="1:33">
      <c r="A13" s="1" t="s">
        <v>95</v>
      </c>
      <c r="B13" s="1"/>
      <c r="C13" s="1" t="s">
        <v>25</v>
      </c>
      <c r="D13" s="2">
        <v>187</v>
      </c>
      <c r="E13" s="2">
        <v>132</v>
      </c>
      <c r="F13" s="5">
        <f t="shared" si="3"/>
        <v>37.747719408619062</v>
      </c>
      <c r="G13" s="4">
        <f t="shared" si="4"/>
        <v>73.622047244094489</v>
      </c>
      <c r="H13">
        <f t="shared" si="5"/>
        <v>6</v>
      </c>
      <c r="I13">
        <f t="shared" si="6"/>
        <v>1.6</v>
      </c>
      <c r="J13" t="str">
        <f t="shared" si="7"/>
        <v>6' 1.6"</v>
      </c>
      <c r="K13">
        <f t="shared" si="8"/>
        <v>291</v>
      </c>
      <c r="L13">
        <f t="shared" si="11"/>
        <v>11</v>
      </c>
      <c r="M13" s="8" t="e">
        <f ca="1"/>
        <v>#NAME?</v>
      </c>
      <c r="O13" t="s">
        <v>60</v>
      </c>
      <c r="P13" s="6">
        <v>200</v>
      </c>
      <c r="W13" s="10" t="e">
        <f t="array" aca="1" ref="W13" ca="1">SUM(ABS(TRANSPOSE($D13:$F13)-P$3:P$5)^$P$9)</f>
        <v>#DIV/0!</v>
      </c>
      <c r="X13" s="10" t="e">
        <f t="array" aca="1" ref="X13" ca="1">SUM(ABS(TRANSPOSE($D13:$F13)-Q$3:Q$5)^$P$9)</f>
        <v>#DIV/0!</v>
      </c>
      <c r="Y13" s="10" t="e">
        <f t="array" aca="1" ref="Y13" ca="1">SUM(ABS(TRANSPOSE($D13:$F13)-R$3:R$5)^$P$9)</f>
        <v>#DIV/0!</v>
      </c>
      <c r="Z13" s="10" t="e">
        <f t="array" aca="1" ref="Z13" ca="1">SUM(ABS(TRANSPOSE($D13:$F13)-S$3:S$5)^$P$9)</f>
        <v>#DIV/0!</v>
      </c>
      <c r="AA13" s="10" t="e">
        <f t="array" aca="1" ref="AA13" ca="1">SUM(ABS(TRANSPOSE($D13:$F13)-T$3:T$5)^$P$9)</f>
        <v>#DIV/0!</v>
      </c>
      <c r="AB13" s="7" t="e">
        <f t="array" aca="1" ref="AB13" ca="1">SUM(ABS(TRANSPOSE($D13:$F13)-U$3:U$5)^$P$9)</f>
        <v>#DIV/0!</v>
      </c>
      <c r="AC13" s="7" t="e">
        <f t="shared" ca="1" si="10"/>
        <v>#DIV/0!</v>
      </c>
    </row>
    <row r="14" spans="1:33">
      <c r="A14" s="1" t="s">
        <v>96</v>
      </c>
      <c r="B14" s="1"/>
      <c r="C14" s="1" t="s">
        <v>27</v>
      </c>
      <c r="D14" s="2">
        <v>187</v>
      </c>
      <c r="E14" s="2">
        <v>175</v>
      </c>
      <c r="F14" s="5">
        <f t="shared" si="3"/>
        <v>50.044324973548001</v>
      </c>
      <c r="G14" s="4">
        <f t="shared" si="4"/>
        <v>73.622047244094489</v>
      </c>
      <c r="H14">
        <f t="shared" si="5"/>
        <v>6</v>
      </c>
      <c r="I14">
        <f t="shared" si="6"/>
        <v>1.6</v>
      </c>
      <c r="J14" t="str">
        <f t="shared" si="7"/>
        <v>6' 1.6"</v>
      </c>
      <c r="K14">
        <f t="shared" si="8"/>
        <v>386</v>
      </c>
      <c r="L14">
        <f t="shared" si="11"/>
        <v>12</v>
      </c>
      <c r="M14" s="8" t="e">
        <f ca="1"/>
        <v>#NAME?</v>
      </c>
      <c r="O14" t="s">
        <v>61</v>
      </c>
      <c r="P14" s="6" t="e">
        <f ca="1">[1]!CLUST_Converge(D3:E44,M3:M44)</f>
        <v>#NAME?</v>
      </c>
      <c r="W14" s="10" t="e">
        <f t="array" aca="1" ref="W14" ca="1">SUM(ABS(TRANSPOSE($D14:$F14)-P$3:P$5)^$P$9)</f>
        <v>#DIV/0!</v>
      </c>
      <c r="X14" s="10" t="e">
        <f t="array" aca="1" ref="X14" ca="1">SUM(ABS(TRANSPOSE($D14:$F14)-Q$3:Q$5)^$P$9)</f>
        <v>#DIV/0!</v>
      </c>
      <c r="Y14" s="10" t="e">
        <f t="array" aca="1" ref="Y14" ca="1">SUM(ABS(TRANSPOSE($D14:$F14)-R$3:R$5)^$P$9)</f>
        <v>#DIV/0!</v>
      </c>
      <c r="Z14" s="10" t="e">
        <f t="array" aca="1" ref="Z14" ca="1">SUM(ABS(TRANSPOSE($D14:$F14)-S$3:S$5)^$P$9)</f>
        <v>#DIV/0!</v>
      </c>
      <c r="AA14" s="10" t="e">
        <f t="array" aca="1" ref="AA14" ca="1">SUM(ABS(TRANSPOSE($D14:$F14)-T$3:T$5)^$P$9)</f>
        <v>#DIV/0!</v>
      </c>
      <c r="AB14" s="7" t="e">
        <f t="array" aca="1" ref="AB14" ca="1">SUM(ABS(TRANSPOSE($D14:$F14)-U$3:U$5)^$P$9)</f>
        <v>#DIV/0!</v>
      </c>
      <c r="AC14" s="7" t="e">
        <f t="shared" ca="1" si="10"/>
        <v>#DIV/0!</v>
      </c>
    </row>
    <row r="15" spans="1:33">
      <c r="A15" s="1" t="s">
        <v>97</v>
      </c>
      <c r="B15" s="1"/>
      <c r="C15" s="1" t="s">
        <v>28</v>
      </c>
      <c r="D15" s="2">
        <v>187</v>
      </c>
      <c r="E15" s="2">
        <v>155</v>
      </c>
      <c r="F15" s="5">
        <f t="shared" si="3"/>
        <v>44.324973547999662</v>
      </c>
      <c r="G15" s="4">
        <f t="shared" si="4"/>
        <v>73.622047244094489</v>
      </c>
      <c r="H15">
        <f t="shared" si="5"/>
        <v>6</v>
      </c>
      <c r="I15">
        <f t="shared" si="6"/>
        <v>1.6</v>
      </c>
      <c r="J15" t="str">
        <f t="shared" si="7"/>
        <v>6' 1.6"</v>
      </c>
      <c r="K15">
        <f t="shared" si="8"/>
        <v>342</v>
      </c>
      <c r="L15">
        <f t="shared" si="11"/>
        <v>13</v>
      </c>
      <c r="M15" s="8" t="e">
        <f ca="1"/>
        <v>#NAME?</v>
      </c>
      <c r="O15" t="s">
        <v>61</v>
      </c>
      <c r="P15" s="6" t="e">
        <f ca="1">[1]!CLUST_Converge(D3:F44,M3:M44)</f>
        <v>#NAME?</v>
      </c>
      <c r="W15" s="10" t="e">
        <f t="array" aca="1" ref="W15" ca="1">SUM(ABS(TRANSPOSE($D15:$F15)-P$3:P$5)^$P$9)</f>
        <v>#DIV/0!</v>
      </c>
      <c r="X15" s="10" t="e">
        <f t="array" aca="1" ref="X15" ca="1">SUM(ABS(TRANSPOSE($D15:$F15)-Q$3:Q$5)^$P$9)</f>
        <v>#DIV/0!</v>
      </c>
      <c r="Y15" s="10" t="e">
        <f t="array" aca="1" ref="Y15" ca="1">SUM(ABS(TRANSPOSE($D15:$F15)-R$3:R$5)^$P$9)</f>
        <v>#DIV/0!</v>
      </c>
      <c r="Z15" s="10" t="e">
        <f t="array" aca="1" ref="Z15" ca="1">SUM(ABS(TRANSPOSE($D15:$F15)-S$3:S$5)^$P$9)</f>
        <v>#DIV/0!</v>
      </c>
      <c r="AA15" s="10" t="e">
        <f t="array" aca="1" ref="AA15" ca="1">SUM(ABS(TRANSPOSE($D15:$F15)-T$3:T$5)^$P$9)</f>
        <v>#DIV/0!</v>
      </c>
      <c r="AB15" s="7" t="e">
        <f t="array" aca="1" ref="AB15" ca="1">SUM(ABS(TRANSPOSE($D15:$F15)-U$3:U$5)^$P$9)</f>
        <v>#DIV/0!</v>
      </c>
      <c r="AC15" s="7" t="e">
        <f t="shared" ca="1" si="10"/>
        <v>#DIV/0!</v>
      </c>
    </row>
    <row r="16" spans="1:33">
      <c r="A16" s="1" t="s">
        <v>98</v>
      </c>
      <c r="B16" s="1"/>
      <c r="C16" s="1" t="s">
        <v>29</v>
      </c>
      <c r="D16" s="2">
        <v>187</v>
      </c>
      <c r="E16" s="2">
        <v>145</v>
      </c>
      <c r="F16" s="5">
        <f t="shared" si="3"/>
        <v>41.465297835225485</v>
      </c>
      <c r="G16" s="4">
        <f t="shared" si="4"/>
        <v>73.622047244094489</v>
      </c>
      <c r="H16">
        <f t="shared" si="5"/>
        <v>6</v>
      </c>
      <c r="I16">
        <f t="shared" si="6"/>
        <v>1.6</v>
      </c>
      <c r="J16" t="str">
        <f t="shared" si="7"/>
        <v>6' 1.6"</v>
      </c>
      <c r="K16">
        <f t="shared" si="8"/>
        <v>320</v>
      </c>
      <c r="L16">
        <f t="shared" si="11"/>
        <v>14</v>
      </c>
      <c r="M16" s="8" t="e">
        <f ca="1"/>
        <v>#NAME?</v>
      </c>
      <c r="O16" t="s">
        <v>62</v>
      </c>
      <c r="P16" s="6" t="e">
        <f ca="1">SUM(AC3:AC44)</f>
        <v>#DIV/0!</v>
      </c>
      <c r="W16" s="10" t="e">
        <f t="array" aca="1" ref="W16" ca="1">SUM(ABS(TRANSPOSE($D16:$F16)-P$3:P$5)^$P$9)</f>
        <v>#DIV/0!</v>
      </c>
      <c r="X16" s="10" t="e">
        <f t="array" aca="1" ref="X16" ca="1">SUM(ABS(TRANSPOSE($D16:$F16)-Q$3:Q$5)^$P$9)</f>
        <v>#DIV/0!</v>
      </c>
      <c r="Y16" s="10" t="e">
        <f t="array" aca="1" ref="Y16" ca="1">SUM(ABS(TRANSPOSE($D16:$F16)-R$3:R$5)^$P$9)</f>
        <v>#DIV/0!</v>
      </c>
      <c r="Z16" s="10" t="e">
        <f t="array" aca="1" ref="Z16" ca="1">SUM(ABS(TRANSPOSE($D16:$F16)-S$3:S$5)^$P$9)</f>
        <v>#DIV/0!</v>
      </c>
      <c r="AA16" s="10" t="e">
        <f t="array" aca="1" ref="AA16" ca="1">SUM(ABS(TRANSPOSE($D16:$F16)-T$3:T$5)^$P$9)</f>
        <v>#DIV/0!</v>
      </c>
      <c r="AB16" s="7" t="e">
        <f t="array" aca="1" ref="AB16" ca="1">SUM(ABS(TRANSPOSE($D16:$F16)-U$3:U$5)^$P$9)</f>
        <v>#DIV/0!</v>
      </c>
      <c r="AC16" s="7" t="e">
        <f t="shared" ca="1" si="10"/>
        <v>#DIV/0!</v>
      </c>
    </row>
    <row r="17" spans="1:29">
      <c r="A17" s="1" t="s">
        <v>99</v>
      </c>
      <c r="B17" s="1"/>
      <c r="C17" s="1" t="s">
        <v>30</v>
      </c>
      <c r="D17" s="2">
        <v>183</v>
      </c>
      <c r="E17" s="2">
        <v>148</v>
      </c>
      <c r="F17" s="5">
        <f t="shared" si="3"/>
        <v>44.193615814147932</v>
      </c>
      <c r="G17" s="4">
        <f t="shared" si="4"/>
        <v>72.047244094488192</v>
      </c>
      <c r="H17">
        <f t="shared" si="5"/>
        <v>6</v>
      </c>
      <c r="I17">
        <f t="shared" si="6"/>
        <v>0</v>
      </c>
      <c r="J17" t="str">
        <f t="shared" si="7"/>
        <v>6' 0"</v>
      </c>
      <c r="K17">
        <f t="shared" si="8"/>
        <v>326</v>
      </c>
      <c r="L17">
        <f t="shared" si="11"/>
        <v>15</v>
      </c>
      <c r="M17" s="8" t="e">
        <f ca="1"/>
        <v>#NAME?</v>
      </c>
      <c r="O17" t="s">
        <v>62</v>
      </c>
      <c r="P17" s="6" t="e">
        <f ca="1">SUM(AC3:AC44)</f>
        <v>#DIV/0!</v>
      </c>
      <c r="W17" s="10" t="e">
        <f t="array" aca="1" ref="W17" ca="1">SUM(ABS(TRANSPOSE($D17:$F17)-P$3:P$5)^$P$9)</f>
        <v>#DIV/0!</v>
      </c>
      <c r="X17" s="10" t="e">
        <f t="array" aca="1" ref="X17" ca="1">SUM(ABS(TRANSPOSE($D17:$F17)-Q$3:Q$5)^$P$9)</f>
        <v>#DIV/0!</v>
      </c>
      <c r="Y17" s="10" t="e">
        <f t="array" aca="1" ref="Y17" ca="1">SUM(ABS(TRANSPOSE($D17:$F17)-R$3:R$5)^$P$9)</f>
        <v>#DIV/0!</v>
      </c>
      <c r="Z17" s="10" t="e">
        <f t="array" aca="1" ref="Z17" ca="1">SUM(ABS(TRANSPOSE($D17:$F17)-S$3:S$5)^$P$9)</f>
        <v>#DIV/0!</v>
      </c>
      <c r="AA17" s="10" t="e">
        <f t="array" aca="1" ref="AA17" ca="1">SUM(ABS(TRANSPOSE($D17:$F17)-T$3:T$5)^$P$9)</f>
        <v>#DIV/0!</v>
      </c>
      <c r="AB17" s="7" t="e">
        <f t="array" aca="1" ref="AB17" ca="1">SUM(ABS(TRANSPOSE($D17:$F17)-U$3:U$5)^$P$9)</f>
        <v>#DIV/0!</v>
      </c>
      <c r="AC17" s="7" t="e">
        <f t="shared" ca="1" si="10"/>
        <v>#DIV/0!</v>
      </c>
    </row>
    <row r="18" spans="1:29">
      <c r="A18" s="1" t="s">
        <v>100</v>
      </c>
      <c r="B18" s="1"/>
      <c r="C18" s="1" t="s">
        <v>17</v>
      </c>
      <c r="D18" s="2">
        <v>186</v>
      </c>
      <c r="E18" s="2">
        <v>138</v>
      </c>
      <c r="F18" s="5">
        <f t="shared" si="3"/>
        <v>39.889004509191814</v>
      </c>
      <c r="G18" s="4">
        <f t="shared" si="4"/>
        <v>73.228346456692918</v>
      </c>
      <c r="H18">
        <f t="shared" si="5"/>
        <v>6</v>
      </c>
      <c r="I18">
        <f t="shared" si="6"/>
        <v>1.2</v>
      </c>
      <c r="J18" t="str">
        <f t="shared" si="7"/>
        <v>6' 1.2"</v>
      </c>
      <c r="K18">
        <f t="shared" si="8"/>
        <v>304</v>
      </c>
      <c r="L18">
        <f t="shared" si="11"/>
        <v>16</v>
      </c>
      <c r="M18" s="8" t="e">
        <f ca="1"/>
        <v>#NAME?</v>
      </c>
      <c r="W18" s="10" t="e">
        <f t="array" aca="1" ref="W18" ca="1">SUM(ABS(TRANSPOSE($D18:$F18)-P$3:P$5)^$P$9)</f>
        <v>#DIV/0!</v>
      </c>
      <c r="X18" s="10" t="e">
        <f t="array" aca="1" ref="X18" ca="1">SUM(ABS(TRANSPOSE($D18:$F18)-Q$3:Q$5)^$P$9)</f>
        <v>#DIV/0!</v>
      </c>
      <c r="Y18" s="10" t="e">
        <f t="array" aca="1" ref="Y18" ca="1">SUM(ABS(TRANSPOSE($D18:$F18)-R$3:R$5)^$P$9)</f>
        <v>#DIV/0!</v>
      </c>
      <c r="Z18" s="10" t="e">
        <f t="array" aca="1" ref="Z18" ca="1">SUM(ABS(TRANSPOSE($D18:$F18)-S$3:S$5)^$P$9)</f>
        <v>#DIV/0!</v>
      </c>
      <c r="AA18" s="10" t="e">
        <f t="array" aca="1" ref="AA18" ca="1">SUM(ABS(TRANSPOSE($D18:$F18)-T$3:T$5)^$P$9)</f>
        <v>#DIV/0!</v>
      </c>
      <c r="AB18" s="7" t="e">
        <f t="array" aca="1" ref="AB18" ca="1">SUM(ABS(TRANSPOSE($D18:$F18)-U$3:U$5)^$P$9)</f>
        <v>#DIV/0!</v>
      </c>
      <c r="AC18" s="7" t="e">
        <f t="shared" ca="1" si="10"/>
        <v>#DIV/0!</v>
      </c>
    </row>
    <row r="19" spans="1:29">
      <c r="A19" s="1" t="s">
        <v>101</v>
      </c>
      <c r="B19" s="1"/>
      <c r="C19" s="1" t="s">
        <v>31</v>
      </c>
      <c r="D19" s="2">
        <v>185</v>
      </c>
      <c r="E19" s="2">
        <v>164</v>
      </c>
      <c r="F19" s="5">
        <f t="shared" si="3"/>
        <v>47.918188458728999</v>
      </c>
      <c r="G19" s="4">
        <f t="shared" si="4"/>
        <v>72.834645669291348</v>
      </c>
      <c r="H19">
        <f t="shared" si="5"/>
        <v>6</v>
      </c>
      <c r="I19">
        <f t="shared" si="6"/>
        <v>0.8</v>
      </c>
      <c r="J19" t="str">
        <f t="shared" si="7"/>
        <v>6' 0.8"</v>
      </c>
      <c r="K19">
        <f t="shared" si="8"/>
        <v>362</v>
      </c>
      <c r="L19">
        <f t="shared" si="11"/>
        <v>17</v>
      </c>
      <c r="M19" s="8" t="e">
        <f ca="1"/>
        <v>#NAME?</v>
      </c>
      <c r="W19" s="10" t="e">
        <f t="array" aca="1" ref="W19" ca="1">SUM(ABS(TRANSPOSE($D19:$F19)-P$3:P$5)^$P$9)</f>
        <v>#DIV/0!</v>
      </c>
      <c r="X19" s="10" t="e">
        <f t="array" aca="1" ref="X19" ca="1">SUM(ABS(TRANSPOSE($D19:$F19)-Q$3:Q$5)^$P$9)</f>
        <v>#DIV/0!</v>
      </c>
      <c r="Y19" s="10" t="e">
        <f t="array" aca="1" ref="Y19" ca="1">SUM(ABS(TRANSPOSE($D19:$F19)-R$3:R$5)^$P$9)</f>
        <v>#DIV/0!</v>
      </c>
      <c r="Z19" s="10" t="e">
        <f t="array" aca="1" ref="Z19" ca="1">SUM(ABS(TRANSPOSE($D19:$F19)-S$3:S$5)^$P$9)</f>
        <v>#DIV/0!</v>
      </c>
      <c r="AA19" s="10" t="e">
        <f t="array" aca="1" ref="AA19" ca="1">SUM(ABS(TRANSPOSE($D19:$F19)-T$3:T$5)^$P$9)</f>
        <v>#DIV/0!</v>
      </c>
      <c r="AB19" s="7" t="e">
        <f t="array" aca="1" ref="AB19" ca="1">SUM(ABS(TRANSPOSE($D19:$F19)-U$3:U$5)^$P$9)</f>
        <v>#DIV/0!</v>
      </c>
      <c r="AC19" s="7" t="e">
        <f t="shared" ca="1" si="10"/>
        <v>#DIV/0!</v>
      </c>
    </row>
    <row r="20" spans="1:29">
      <c r="A20" s="1" t="s">
        <v>102</v>
      </c>
      <c r="B20" s="1"/>
      <c r="C20" s="1" t="s">
        <v>32</v>
      </c>
      <c r="D20" s="2">
        <v>185</v>
      </c>
      <c r="E20" s="2">
        <v>140</v>
      </c>
      <c r="F20" s="5">
        <f t="shared" si="3"/>
        <v>40.905770635500367</v>
      </c>
      <c r="G20" s="4">
        <f t="shared" si="4"/>
        <v>72.834645669291348</v>
      </c>
      <c r="H20">
        <f t="shared" si="5"/>
        <v>6</v>
      </c>
      <c r="I20">
        <f t="shared" si="6"/>
        <v>0.8</v>
      </c>
      <c r="J20" t="str">
        <f t="shared" si="7"/>
        <v>6' 0.8"</v>
      </c>
      <c r="K20">
        <f t="shared" si="8"/>
        <v>309</v>
      </c>
      <c r="L20">
        <f t="shared" si="11"/>
        <v>18</v>
      </c>
      <c r="M20" s="8" t="e">
        <f ca="1"/>
        <v>#NAME?</v>
      </c>
      <c r="W20" s="10" t="e">
        <f t="array" aca="1" ref="W20" ca="1">SUM(ABS(TRANSPOSE($D20:$F20)-P$3:P$5)^$P$9)</f>
        <v>#DIV/0!</v>
      </c>
      <c r="X20" s="10" t="e">
        <f t="array" aca="1" ref="X20" ca="1">SUM(ABS(TRANSPOSE($D20:$F20)-Q$3:Q$5)^$P$9)</f>
        <v>#DIV/0!</v>
      </c>
      <c r="Y20" s="10" t="e">
        <f t="array" aca="1" ref="Y20" ca="1">SUM(ABS(TRANSPOSE($D20:$F20)-R$3:R$5)^$P$9)</f>
        <v>#DIV/0!</v>
      </c>
      <c r="Z20" s="10" t="e">
        <f t="array" aca="1" ref="Z20" ca="1">SUM(ABS(TRANSPOSE($D20:$F20)-S$3:S$5)^$P$9)</f>
        <v>#DIV/0!</v>
      </c>
      <c r="AA20" s="10" t="e">
        <f t="array" aca="1" ref="AA20" ca="1">SUM(ABS(TRANSPOSE($D20:$F20)-T$3:T$5)^$P$9)</f>
        <v>#DIV/0!</v>
      </c>
      <c r="AB20" s="7" t="e">
        <f t="array" aca="1" ref="AB20" ca="1">SUM(ABS(TRANSPOSE($D20:$F20)-U$3:U$5)^$P$9)</f>
        <v>#DIV/0!</v>
      </c>
      <c r="AC20" s="7" t="e">
        <f t="shared" ca="1" si="10"/>
        <v>#DIV/0!</v>
      </c>
    </row>
    <row r="21" spans="1:29">
      <c r="A21" s="1" t="s">
        <v>103</v>
      </c>
      <c r="B21" s="1"/>
      <c r="C21" s="1" t="s">
        <v>33</v>
      </c>
      <c r="D21" s="2">
        <v>185</v>
      </c>
      <c r="E21" s="2">
        <v>168</v>
      </c>
      <c r="F21" s="5">
        <f t="shared" si="3"/>
        <v>49.086924762600439</v>
      </c>
      <c r="G21" s="4">
        <f t="shared" si="4"/>
        <v>72.834645669291348</v>
      </c>
      <c r="H21">
        <f t="shared" si="5"/>
        <v>6</v>
      </c>
      <c r="I21">
        <f t="shared" si="6"/>
        <v>0.8</v>
      </c>
      <c r="J21" t="str">
        <f t="shared" si="7"/>
        <v>6' 0.8"</v>
      </c>
      <c r="K21">
        <f t="shared" si="8"/>
        <v>370</v>
      </c>
      <c r="L21">
        <f t="shared" si="11"/>
        <v>19</v>
      </c>
      <c r="M21" s="8" t="e">
        <f ca="1"/>
        <v>#NAME?</v>
      </c>
      <c r="W21" s="10" t="e">
        <f t="array" aca="1" ref="W21" ca="1">SUM(ABS(TRANSPOSE($D21:$F21)-P$3:P$5)^$P$9)</f>
        <v>#DIV/0!</v>
      </c>
      <c r="X21" s="10" t="e">
        <f t="array" aca="1" ref="X21" ca="1">SUM(ABS(TRANSPOSE($D21:$F21)-Q$3:Q$5)^$P$9)</f>
        <v>#DIV/0!</v>
      </c>
      <c r="Y21" s="10" t="e">
        <f t="array" aca="1" ref="Y21" ca="1">SUM(ABS(TRANSPOSE($D21:$F21)-R$3:R$5)^$P$9)</f>
        <v>#DIV/0!</v>
      </c>
      <c r="Z21" s="10" t="e">
        <f t="array" aca="1" ref="Z21" ca="1">SUM(ABS(TRANSPOSE($D21:$F21)-S$3:S$5)^$P$9)</f>
        <v>#DIV/0!</v>
      </c>
      <c r="AA21" s="10" t="e">
        <f t="array" aca="1" ref="AA21" ca="1">SUM(ABS(TRANSPOSE($D21:$F21)-T$3:T$5)^$P$9)</f>
        <v>#DIV/0!</v>
      </c>
      <c r="AB21" s="7" t="e">
        <f t="array" aca="1" ref="AB21" ca="1">SUM(ABS(TRANSPOSE($D21:$F21)-U$3:U$5)^$P$9)</f>
        <v>#DIV/0!</v>
      </c>
      <c r="AC21" s="7" t="e">
        <f t="shared" ca="1" si="10"/>
        <v>#DIV/0!</v>
      </c>
    </row>
    <row r="22" spans="1:29">
      <c r="A22" s="1" t="s">
        <v>104</v>
      </c>
      <c r="B22" s="1"/>
      <c r="C22" s="1" t="s">
        <v>34</v>
      </c>
      <c r="D22" s="2">
        <v>185</v>
      </c>
      <c r="E22" s="2">
        <v>168</v>
      </c>
      <c r="F22" s="5">
        <f t="shared" si="3"/>
        <v>49.086924762600439</v>
      </c>
      <c r="G22" s="4">
        <f t="shared" si="4"/>
        <v>72.834645669291348</v>
      </c>
      <c r="H22">
        <f t="shared" si="5"/>
        <v>6</v>
      </c>
      <c r="I22">
        <f t="shared" si="6"/>
        <v>0.8</v>
      </c>
      <c r="J22" t="str">
        <f t="shared" si="7"/>
        <v>6' 0.8"</v>
      </c>
      <c r="K22">
        <f t="shared" si="8"/>
        <v>370</v>
      </c>
      <c r="L22">
        <f t="shared" si="11"/>
        <v>20</v>
      </c>
      <c r="M22" s="8" t="e">
        <f ca="1"/>
        <v>#NAME?</v>
      </c>
      <c r="W22" s="10" t="e">
        <f t="array" aca="1" ref="W22" ca="1">SUM(ABS(TRANSPOSE($D22:$F22)-P$3:P$5)^$P$9)</f>
        <v>#DIV/0!</v>
      </c>
      <c r="X22" s="10" t="e">
        <f t="array" aca="1" ref="X22" ca="1">SUM(ABS(TRANSPOSE($D22:$F22)-Q$3:Q$5)^$P$9)</f>
        <v>#DIV/0!</v>
      </c>
      <c r="Y22" s="10" t="e">
        <f t="array" aca="1" ref="Y22" ca="1">SUM(ABS(TRANSPOSE($D22:$F22)-R$3:R$5)^$P$9)</f>
        <v>#DIV/0!</v>
      </c>
      <c r="Z22" s="10" t="e">
        <f t="array" aca="1" ref="Z22" ca="1">SUM(ABS(TRANSPOSE($D22:$F22)-S$3:S$5)^$P$9)</f>
        <v>#DIV/0!</v>
      </c>
      <c r="AA22" s="10" t="e">
        <f t="array" aca="1" ref="AA22" ca="1">SUM(ABS(TRANSPOSE($D22:$F22)-T$3:T$5)^$P$9)</f>
        <v>#DIV/0!</v>
      </c>
      <c r="AB22" s="7" t="e">
        <f t="array" aca="1" ref="AB22" ca="1">SUM(ABS(TRANSPOSE($D22:$F22)-U$3:U$5)^$P$9)</f>
        <v>#DIV/0!</v>
      </c>
      <c r="AC22" s="7" t="e">
        <f t="shared" ca="1" si="10"/>
        <v>#DIV/0!</v>
      </c>
    </row>
    <row r="23" spans="1:29">
      <c r="A23" s="1" t="s">
        <v>105</v>
      </c>
      <c r="B23" s="1"/>
      <c r="C23" s="1" t="s">
        <v>35</v>
      </c>
      <c r="D23" s="2">
        <v>185</v>
      </c>
      <c r="E23" s="2">
        <v>168</v>
      </c>
      <c r="F23" s="5">
        <f t="shared" si="3"/>
        <v>49.086924762600439</v>
      </c>
      <c r="G23" s="4">
        <f t="shared" si="4"/>
        <v>72.834645669291348</v>
      </c>
      <c r="H23">
        <f t="shared" si="5"/>
        <v>6</v>
      </c>
      <c r="I23">
        <f t="shared" si="6"/>
        <v>0.8</v>
      </c>
      <c r="J23" t="str">
        <f t="shared" si="7"/>
        <v>6' 0.8"</v>
      </c>
      <c r="K23">
        <f t="shared" si="8"/>
        <v>370</v>
      </c>
      <c r="L23">
        <f t="shared" si="11"/>
        <v>21</v>
      </c>
      <c r="M23" s="8" t="e">
        <f ca="1"/>
        <v>#NAME?</v>
      </c>
      <c r="W23" s="10" t="e">
        <f t="array" aca="1" ref="W23" ca="1">SUM(ABS(TRANSPOSE($D23:$F23)-P$3:P$5)^$P$9)</f>
        <v>#DIV/0!</v>
      </c>
      <c r="X23" s="10" t="e">
        <f t="array" aca="1" ref="X23" ca="1">SUM(ABS(TRANSPOSE($D23:$F23)-Q$3:Q$5)^$P$9)</f>
        <v>#DIV/0!</v>
      </c>
      <c r="Y23" s="10" t="e">
        <f t="array" aca="1" ref="Y23" ca="1">SUM(ABS(TRANSPOSE($D23:$F23)-R$3:R$5)^$P$9)</f>
        <v>#DIV/0!</v>
      </c>
      <c r="Z23" s="10" t="e">
        <f t="array" aca="1" ref="Z23" ca="1">SUM(ABS(TRANSPOSE($D23:$F23)-S$3:S$5)^$P$9)</f>
        <v>#DIV/0!</v>
      </c>
      <c r="AA23" s="10" t="e">
        <f t="array" aca="1" ref="AA23" ca="1">SUM(ABS(TRANSPOSE($D23:$F23)-T$3:T$5)^$P$9)</f>
        <v>#DIV/0!</v>
      </c>
      <c r="AB23" s="7" t="e">
        <f t="array" aca="1" ref="AB23" ca="1">SUM(ABS(TRANSPOSE($D23:$F23)-U$3:U$5)^$P$9)</f>
        <v>#DIV/0!</v>
      </c>
      <c r="AC23" s="7" t="e">
        <f t="shared" ca="1" si="10"/>
        <v>#DIV/0!</v>
      </c>
    </row>
    <row r="24" spans="1:29">
      <c r="A24" s="1" t="s">
        <v>106</v>
      </c>
      <c r="B24" s="1"/>
      <c r="C24" s="1" t="s">
        <v>36</v>
      </c>
      <c r="D24" s="2">
        <v>184</v>
      </c>
      <c r="E24" s="2">
        <v>167</v>
      </c>
      <c r="F24" s="5">
        <f t="shared" si="3"/>
        <v>49.326559546313803</v>
      </c>
      <c r="G24" s="4">
        <f t="shared" si="4"/>
        <v>72.440944881889763</v>
      </c>
      <c r="H24">
        <f t="shared" si="5"/>
        <v>6</v>
      </c>
      <c r="I24">
        <f t="shared" si="6"/>
        <v>0.4</v>
      </c>
      <c r="J24" t="str">
        <f t="shared" si="7"/>
        <v>6' 0.4"</v>
      </c>
      <c r="K24">
        <f t="shared" si="8"/>
        <v>368</v>
      </c>
      <c r="L24">
        <f t="shared" si="11"/>
        <v>22</v>
      </c>
      <c r="M24" s="8" t="e">
        <f ca="1"/>
        <v>#NAME?</v>
      </c>
      <c r="W24" s="10" t="e">
        <f t="array" aca="1" ref="W24" ca="1">SUM(ABS(TRANSPOSE($D24:$F24)-P$3:P$5)^$P$9)</f>
        <v>#DIV/0!</v>
      </c>
      <c r="X24" s="10" t="e">
        <f t="array" aca="1" ref="X24" ca="1">SUM(ABS(TRANSPOSE($D24:$F24)-Q$3:Q$5)^$P$9)</f>
        <v>#DIV/0!</v>
      </c>
      <c r="Y24" s="10" t="e">
        <f t="array" aca="1" ref="Y24" ca="1">SUM(ABS(TRANSPOSE($D24:$F24)-R$3:R$5)^$P$9)</f>
        <v>#DIV/0!</v>
      </c>
      <c r="Z24" s="10" t="e">
        <f t="array" aca="1" ref="Z24" ca="1">SUM(ABS(TRANSPOSE($D24:$F24)-S$3:S$5)^$P$9)</f>
        <v>#DIV/0!</v>
      </c>
      <c r="AA24" s="10" t="e">
        <f t="array" aca="1" ref="AA24" ca="1">SUM(ABS(TRANSPOSE($D24:$F24)-T$3:T$5)^$P$9)</f>
        <v>#DIV/0!</v>
      </c>
      <c r="AB24" s="7" t="e">
        <f t="array" aca="1" ref="AB24" ca="1">SUM(ABS(TRANSPOSE($D24:$F24)-U$3:U$5)^$P$9)</f>
        <v>#DIV/0!</v>
      </c>
      <c r="AC24" s="7" t="e">
        <f t="shared" ca="1" si="10"/>
        <v>#DIV/0!</v>
      </c>
    </row>
    <row r="25" spans="1:29">
      <c r="A25" s="1" t="s">
        <v>107</v>
      </c>
      <c r="B25" s="1"/>
      <c r="C25" s="1" t="s">
        <v>37</v>
      </c>
      <c r="D25" s="2">
        <v>184</v>
      </c>
      <c r="E25" s="2">
        <v>174</v>
      </c>
      <c r="F25" s="5">
        <f t="shared" si="3"/>
        <v>51.394139886578444</v>
      </c>
      <c r="G25" s="4">
        <f t="shared" si="4"/>
        <v>72.440944881889763</v>
      </c>
      <c r="H25">
        <f t="shared" si="5"/>
        <v>6</v>
      </c>
      <c r="I25">
        <f t="shared" si="6"/>
        <v>0.4</v>
      </c>
      <c r="J25" t="str">
        <f t="shared" si="7"/>
        <v>6' 0.4"</v>
      </c>
      <c r="K25">
        <f t="shared" si="8"/>
        <v>384</v>
      </c>
      <c r="L25">
        <f t="shared" si="11"/>
        <v>23</v>
      </c>
      <c r="M25" s="8" t="e">
        <f ca="1"/>
        <v>#NAME?</v>
      </c>
      <c r="W25" s="10" t="e">
        <f t="array" aca="1" ref="W25" ca="1">SUM(ABS(TRANSPOSE($D25:$F25)-P$3:P$5)^$P$9)</f>
        <v>#DIV/0!</v>
      </c>
      <c r="X25" s="10" t="e">
        <f t="array" aca="1" ref="X25" ca="1">SUM(ABS(TRANSPOSE($D25:$F25)-Q$3:Q$5)^$P$9)</f>
        <v>#DIV/0!</v>
      </c>
      <c r="Y25" s="10" t="e">
        <f t="array" aca="1" ref="Y25" ca="1">SUM(ABS(TRANSPOSE($D25:$F25)-R$3:R$5)^$P$9)</f>
        <v>#DIV/0!</v>
      </c>
      <c r="Z25" s="10" t="e">
        <f t="array" aca="1" ref="Z25" ca="1">SUM(ABS(TRANSPOSE($D25:$F25)-S$3:S$5)^$P$9)</f>
        <v>#DIV/0!</v>
      </c>
      <c r="AA25" s="10" t="e">
        <f t="array" aca="1" ref="AA25" ca="1">SUM(ABS(TRANSPOSE($D25:$F25)-T$3:T$5)^$P$9)</f>
        <v>#DIV/0!</v>
      </c>
      <c r="AB25" s="7" t="e">
        <f t="array" aca="1" ref="AB25" ca="1">SUM(ABS(TRANSPOSE($D25:$F25)-U$3:U$5)^$P$9)</f>
        <v>#DIV/0!</v>
      </c>
      <c r="AC25" s="7" t="e">
        <f t="shared" ca="1" si="10"/>
        <v>#DIV/0!</v>
      </c>
    </row>
    <row r="26" spans="1:29">
      <c r="A26" s="1" t="s">
        <v>108</v>
      </c>
      <c r="B26" s="1"/>
      <c r="C26" s="1" t="s">
        <v>38</v>
      </c>
      <c r="D26" s="2">
        <v>184</v>
      </c>
      <c r="E26" s="2">
        <v>200</v>
      </c>
      <c r="F26" s="5">
        <f t="shared" si="3"/>
        <v>59.073724007561438</v>
      </c>
      <c r="G26" s="4">
        <f t="shared" si="4"/>
        <v>72.440944881889763</v>
      </c>
      <c r="H26">
        <f t="shared" si="5"/>
        <v>6</v>
      </c>
      <c r="I26">
        <f t="shared" si="6"/>
        <v>0.4</v>
      </c>
      <c r="J26" t="str">
        <f t="shared" si="7"/>
        <v>6' 0.4"</v>
      </c>
      <c r="K26">
        <f t="shared" si="8"/>
        <v>441</v>
      </c>
      <c r="L26">
        <f t="shared" si="11"/>
        <v>24</v>
      </c>
      <c r="M26" s="8" t="e">
        <f ca="1"/>
        <v>#NAME?</v>
      </c>
      <c r="W26" s="10" t="e">
        <f t="array" aca="1" ref="W26" ca="1">SUM(ABS(TRANSPOSE($D26:$F26)-P$3:P$5)^$P$9)</f>
        <v>#DIV/0!</v>
      </c>
      <c r="X26" s="10" t="e">
        <f t="array" aca="1" ref="X26" ca="1">SUM(ABS(TRANSPOSE($D26:$F26)-Q$3:Q$5)^$P$9)</f>
        <v>#DIV/0!</v>
      </c>
      <c r="Y26" s="10" t="e">
        <f t="array" aca="1" ref="Y26" ca="1">SUM(ABS(TRANSPOSE($D26:$F26)-R$3:R$5)^$P$9)</f>
        <v>#DIV/0!</v>
      </c>
      <c r="Z26" s="10" t="e">
        <f t="array" aca="1" ref="Z26" ca="1">SUM(ABS(TRANSPOSE($D26:$F26)-S$3:S$5)^$P$9)</f>
        <v>#DIV/0!</v>
      </c>
      <c r="AA26" s="10" t="e">
        <f t="array" aca="1" ref="AA26" ca="1">SUM(ABS(TRANSPOSE($D26:$F26)-T$3:T$5)^$P$9)</f>
        <v>#DIV/0!</v>
      </c>
      <c r="AB26" s="7" t="e">
        <f t="array" aca="1" ref="AB26" ca="1">SUM(ABS(TRANSPOSE($D26:$F26)-U$3:U$5)^$P$9)</f>
        <v>#DIV/0!</v>
      </c>
      <c r="AC26" s="7" t="e">
        <f t="shared" ca="1" si="10"/>
        <v>#DIV/0!</v>
      </c>
    </row>
    <row r="27" spans="1:29">
      <c r="A27" s="1" t="s">
        <v>109</v>
      </c>
      <c r="B27" s="1">
        <v>1</v>
      </c>
      <c r="C27" s="1" t="s">
        <v>39</v>
      </c>
      <c r="D27" s="2">
        <v>183</v>
      </c>
      <c r="E27" s="2">
        <v>167</v>
      </c>
      <c r="F27" s="5">
        <f t="shared" si="3"/>
        <v>49.867120547045296</v>
      </c>
      <c r="G27" s="4">
        <f t="shared" si="4"/>
        <v>72.047244094488192</v>
      </c>
      <c r="H27">
        <f t="shared" si="5"/>
        <v>6</v>
      </c>
      <c r="I27">
        <f t="shared" si="6"/>
        <v>0</v>
      </c>
      <c r="J27" t="str">
        <f t="shared" si="7"/>
        <v>6' 0"</v>
      </c>
      <c r="K27">
        <f t="shared" si="8"/>
        <v>368</v>
      </c>
      <c r="L27">
        <f t="shared" si="11"/>
        <v>25</v>
      </c>
      <c r="M27" s="8" t="e">
        <f ca="1"/>
        <v>#NAME?</v>
      </c>
      <c r="W27" s="10" t="e">
        <f t="array" aca="1" ref="W27" ca="1">SUM(ABS(TRANSPOSE($D27:$F27)-P$3:P$5)^$P$9)</f>
        <v>#DIV/0!</v>
      </c>
      <c r="X27" s="10" t="e">
        <f t="array" aca="1" ref="X27" ca="1">SUM(ABS(TRANSPOSE($D27:$F27)-Q$3:Q$5)^$P$9)</f>
        <v>#DIV/0!</v>
      </c>
      <c r="Y27" s="10" t="e">
        <f t="array" aca="1" ref="Y27" ca="1">SUM(ABS(TRANSPOSE($D27:$F27)-R$3:R$5)^$P$9)</f>
        <v>#DIV/0!</v>
      </c>
      <c r="Z27" s="10" t="e">
        <f t="array" aca="1" ref="Z27" ca="1">SUM(ABS(TRANSPOSE($D27:$F27)-S$3:S$5)^$P$9)</f>
        <v>#DIV/0!</v>
      </c>
      <c r="AA27" s="10" t="e">
        <f t="array" aca="1" ref="AA27" ca="1">SUM(ABS(TRANSPOSE($D27:$F27)-T$3:T$5)^$P$9)</f>
        <v>#DIV/0!</v>
      </c>
      <c r="AB27" s="7" t="e">
        <f t="array" aca="1" ref="AB27" ca="1">SUM(ABS(TRANSPOSE($D27:$F27)-U$3:U$5)^$P$9)</f>
        <v>#DIV/0!</v>
      </c>
      <c r="AC27" s="7" t="e">
        <f t="shared" ca="1" si="10"/>
        <v>#DIV/0!</v>
      </c>
    </row>
    <row r="28" spans="1:29">
      <c r="A28" s="1" t="s">
        <v>110</v>
      </c>
      <c r="B28" s="1"/>
      <c r="C28" s="1" t="s">
        <v>40</v>
      </c>
      <c r="D28" s="2">
        <v>183</v>
      </c>
      <c r="E28" s="2">
        <v>141</v>
      </c>
      <c r="F28" s="5">
        <f t="shared" si="3"/>
        <v>42.103377228343632</v>
      </c>
      <c r="G28" s="4">
        <f t="shared" si="4"/>
        <v>72.047244094488192</v>
      </c>
      <c r="H28">
        <f t="shared" si="5"/>
        <v>6</v>
      </c>
      <c r="I28">
        <f t="shared" si="6"/>
        <v>0</v>
      </c>
      <c r="J28" t="str">
        <f t="shared" si="7"/>
        <v>6' 0"</v>
      </c>
      <c r="K28">
        <f t="shared" si="8"/>
        <v>311</v>
      </c>
      <c r="L28">
        <f t="shared" si="11"/>
        <v>26</v>
      </c>
      <c r="M28" s="8" t="e">
        <f ca="1"/>
        <v>#NAME?</v>
      </c>
      <c r="W28" s="10" t="e">
        <f t="array" aca="1" ref="W28" ca="1">SUM(ABS(TRANSPOSE($D28:$F28)-P$3:P$5)^$P$9)</f>
        <v>#DIV/0!</v>
      </c>
      <c r="X28" s="10" t="e">
        <f t="array" aca="1" ref="X28" ca="1">SUM(ABS(TRANSPOSE($D28:$F28)-Q$3:Q$5)^$P$9)</f>
        <v>#DIV/0!</v>
      </c>
      <c r="Y28" s="10" t="e">
        <f t="array" aca="1" ref="Y28" ca="1">SUM(ABS(TRANSPOSE($D28:$F28)-R$3:R$5)^$P$9)</f>
        <v>#DIV/0!</v>
      </c>
      <c r="Z28" s="10" t="e">
        <f t="array" aca="1" ref="Z28" ca="1">SUM(ABS(TRANSPOSE($D28:$F28)-S$3:S$5)^$P$9)</f>
        <v>#DIV/0!</v>
      </c>
      <c r="AA28" s="10" t="e">
        <f t="array" aca="1" ref="AA28" ca="1">SUM(ABS(TRANSPOSE($D28:$F28)-T$3:T$5)^$P$9)</f>
        <v>#DIV/0!</v>
      </c>
      <c r="AB28" s="7" t="e">
        <f t="array" aca="1" ref="AB28" ca="1">SUM(ABS(TRANSPOSE($D28:$F28)-U$3:U$5)^$P$9)</f>
        <v>#DIV/0!</v>
      </c>
      <c r="AC28" s="7" t="e">
        <f t="shared" ca="1" si="10"/>
        <v>#DIV/0!</v>
      </c>
    </row>
    <row r="29" spans="1:29">
      <c r="A29" s="1" t="s">
        <v>111</v>
      </c>
      <c r="B29" s="1"/>
      <c r="C29" s="1" t="s">
        <v>41</v>
      </c>
      <c r="D29" s="2">
        <v>183</v>
      </c>
      <c r="E29" s="2">
        <v>140</v>
      </c>
      <c r="F29" s="5">
        <f t="shared" si="3"/>
        <v>41.804771716085874</v>
      </c>
      <c r="G29" s="4">
        <f t="shared" si="4"/>
        <v>72.047244094488192</v>
      </c>
      <c r="H29">
        <f t="shared" si="5"/>
        <v>6</v>
      </c>
      <c r="I29">
        <f t="shared" si="6"/>
        <v>0</v>
      </c>
      <c r="J29" t="str">
        <f t="shared" si="7"/>
        <v>6' 0"</v>
      </c>
      <c r="K29">
        <f t="shared" si="8"/>
        <v>309</v>
      </c>
      <c r="L29">
        <f t="shared" si="11"/>
        <v>27</v>
      </c>
      <c r="M29" s="8" t="e">
        <f ca="1"/>
        <v>#NAME?</v>
      </c>
      <c r="W29" s="10" t="e">
        <f t="array" aca="1" ref="W29" ca="1">SUM(ABS(TRANSPOSE($D29:$F29)-P$3:P$5)^$P$9)</f>
        <v>#DIV/0!</v>
      </c>
      <c r="X29" s="10" t="e">
        <f t="array" aca="1" ref="X29" ca="1">SUM(ABS(TRANSPOSE($D29:$F29)-Q$3:Q$5)^$P$9)</f>
        <v>#DIV/0!</v>
      </c>
      <c r="Y29" s="10" t="e">
        <f t="array" aca="1" ref="Y29" ca="1">SUM(ABS(TRANSPOSE($D29:$F29)-R$3:R$5)^$P$9)</f>
        <v>#DIV/0!</v>
      </c>
      <c r="Z29" s="10" t="e">
        <f t="array" aca="1" ref="Z29" ca="1">SUM(ABS(TRANSPOSE($D29:$F29)-S$3:S$5)^$P$9)</f>
        <v>#DIV/0!</v>
      </c>
      <c r="AA29" s="10" t="e">
        <f t="array" aca="1" ref="AA29" ca="1">SUM(ABS(TRANSPOSE($D29:$F29)-T$3:T$5)^$P$9)</f>
        <v>#DIV/0!</v>
      </c>
      <c r="AB29" s="7" t="e">
        <f t="array" aca="1" ref="AB29" ca="1">SUM(ABS(TRANSPOSE($D29:$F29)-U$3:U$5)^$P$9)</f>
        <v>#DIV/0!</v>
      </c>
      <c r="AC29" s="7" t="e">
        <f t="shared" ca="1" si="10"/>
        <v>#DIV/0!</v>
      </c>
    </row>
    <row r="30" spans="1:29">
      <c r="A30" s="1" t="s">
        <v>112</v>
      </c>
      <c r="B30" s="1">
        <v>1</v>
      </c>
      <c r="C30" s="1" t="s">
        <v>42</v>
      </c>
      <c r="D30" s="2">
        <v>182</v>
      </c>
      <c r="E30" s="2">
        <v>162</v>
      </c>
      <c r="F30" s="5">
        <f t="shared" si="3"/>
        <v>48.907136819224732</v>
      </c>
      <c r="G30" s="4">
        <f t="shared" si="4"/>
        <v>71.653543307086608</v>
      </c>
      <c r="H30">
        <f t="shared" si="5"/>
        <v>5</v>
      </c>
      <c r="I30">
        <f t="shared" si="6"/>
        <v>11.7</v>
      </c>
      <c r="J30" t="str">
        <f t="shared" si="7"/>
        <v>5' 11.7"</v>
      </c>
      <c r="K30">
        <f t="shared" si="8"/>
        <v>357</v>
      </c>
      <c r="L30">
        <f t="shared" si="11"/>
        <v>28</v>
      </c>
      <c r="M30" s="8" t="e">
        <f ca="1"/>
        <v>#NAME?</v>
      </c>
      <c r="W30" s="10" t="e">
        <f t="array" aca="1" ref="W30" ca="1">SUM(ABS(TRANSPOSE($D30:$F30)-P$3:P$5)^$P$9)</f>
        <v>#DIV/0!</v>
      </c>
      <c r="X30" s="10" t="e">
        <f t="array" aca="1" ref="X30" ca="1">SUM(ABS(TRANSPOSE($D30:$F30)-Q$3:Q$5)^$P$9)</f>
        <v>#DIV/0!</v>
      </c>
      <c r="Y30" s="10" t="e">
        <f t="array" aca="1" ref="Y30" ca="1">SUM(ABS(TRANSPOSE($D30:$F30)-R$3:R$5)^$P$9)</f>
        <v>#DIV/0!</v>
      </c>
      <c r="Z30" s="10" t="e">
        <f t="array" aca="1" ref="Z30" ca="1">SUM(ABS(TRANSPOSE($D30:$F30)-S$3:S$5)^$P$9)</f>
        <v>#DIV/0!</v>
      </c>
      <c r="AA30" s="10" t="e">
        <f t="array" aca="1" ref="AA30" ca="1">SUM(ABS(TRANSPOSE($D30:$F30)-T$3:T$5)^$P$9)</f>
        <v>#DIV/0!</v>
      </c>
      <c r="AB30" s="7" t="e">
        <f t="array" aca="1" ref="AB30" ca="1">SUM(ABS(TRANSPOSE($D30:$F30)-U$3:U$5)^$P$9)</f>
        <v>#DIV/0!</v>
      </c>
      <c r="AC30" s="7" t="e">
        <f t="shared" ca="1" si="10"/>
        <v>#DIV/0!</v>
      </c>
    </row>
    <row r="31" spans="1:29">
      <c r="A31" s="1" t="s">
        <v>113</v>
      </c>
      <c r="B31" s="1"/>
      <c r="C31" s="1" t="s">
        <v>43</v>
      </c>
      <c r="D31" s="2">
        <v>181</v>
      </c>
      <c r="E31" s="2">
        <v>189</v>
      </c>
      <c r="F31" s="5">
        <f t="shared" si="3"/>
        <v>57.690546686609082</v>
      </c>
      <c r="G31" s="4">
        <f t="shared" si="4"/>
        <v>71.259842519685037</v>
      </c>
      <c r="H31">
        <f t="shared" si="5"/>
        <v>5</v>
      </c>
      <c r="I31">
        <f t="shared" si="6"/>
        <v>11.3</v>
      </c>
      <c r="J31" t="str">
        <f t="shared" si="7"/>
        <v>5' 11.3"</v>
      </c>
      <c r="K31">
        <f t="shared" si="8"/>
        <v>417</v>
      </c>
      <c r="L31">
        <f t="shared" si="11"/>
        <v>29</v>
      </c>
      <c r="M31" s="8" t="e">
        <f ca="1"/>
        <v>#NAME?</v>
      </c>
      <c r="W31" s="10" t="e">
        <f t="array" aca="1" ref="W31" ca="1">SUM(ABS(TRANSPOSE($D31:$F31)-P$3:P$5)^$P$9)</f>
        <v>#DIV/0!</v>
      </c>
      <c r="X31" s="10" t="e">
        <f t="array" aca="1" ref="X31" ca="1">SUM(ABS(TRANSPOSE($D31:$F31)-Q$3:Q$5)^$P$9)</f>
        <v>#DIV/0!</v>
      </c>
      <c r="Y31" s="10" t="e">
        <f t="array" aca="1" ref="Y31" ca="1">SUM(ABS(TRANSPOSE($D31:$F31)-R$3:R$5)^$P$9)</f>
        <v>#DIV/0!</v>
      </c>
      <c r="Z31" s="10" t="e">
        <f t="array" aca="1" ref="Z31" ca="1">SUM(ABS(TRANSPOSE($D31:$F31)-S$3:S$5)^$P$9)</f>
        <v>#DIV/0!</v>
      </c>
      <c r="AA31" s="10" t="e">
        <f t="array" aca="1" ref="AA31" ca="1">SUM(ABS(TRANSPOSE($D31:$F31)-T$3:T$5)^$P$9)</f>
        <v>#DIV/0!</v>
      </c>
      <c r="AB31" s="7" t="e">
        <f t="array" aca="1" ref="AB31" ca="1">SUM(ABS(TRANSPOSE($D31:$F31)-U$3:U$5)^$P$9)</f>
        <v>#DIV/0!</v>
      </c>
      <c r="AC31" s="7" t="e">
        <f t="shared" ca="1" si="10"/>
        <v>#DIV/0!</v>
      </c>
    </row>
    <row r="32" spans="1:29">
      <c r="A32" s="1" t="s">
        <v>114</v>
      </c>
      <c r="B32" s="1"/>
      <c r="C32" s="1" t="s">
        <v>44</v>
      </c>
      <c r="D32" s="2">
        <v>182</v>
      </c>
      <c r="E32" s="2">
        <v>130</v>
      </c>
      <c r="F32" s="5">
        <f t="shared" si="3"/>
        <v>39.246467817896388</v>
      </c>
      <c r="G32" s="4">
        <f t="shared" si="4"/>
        <v>71.653543307086608</v>
      </c>
      <c r="H32">
        <f t="shared" si="5"/>
        <v>5</v>
      </c>
      <c r="I32">
        <f t="shared" si="6"/>
        <v>11.7</v>
      </c>
      <c r="J32" t="str">
        <f t="shared" si="7"/>
        <v>5' 11.7"</v>
      </c>
      <c r="K32">
        <f t="shared" si="8"/>
        <v>287</v>
      </c>
      <c r="L32">
        <f t="shared" si="11"/>
        <v>30</v>
      </c>
      <c r="M32" s="8" t="e">
        <f ca="1"/>
        <v>#NAME?</v>
      </c>
      <c r="W32" s="10" t="e">
        <f t="array" aca="1" ref="W32" ca="1">SUM(ABS(TRANSPOSE($D32:$F32)-P$3:P$5)^$P$9)</f>
        <v>#DIV/0!</v>
      </c>
      <c r="X32" s="10" t="e">
        <f t="array" aca="1" ref="X32" ca="1">SUM(ABS(TRANSPOSE($D32:$F32)-Q$3:Q$5)^$P$9)</f>
        <v>#DIV/0!</v>
      </c>
      <c r="Y32" s="10" t="e">
        <f t="array" aca="1" ref="Y32" ca="1">SUM(ABS(TRANSPOSE($D32:$F32)-R$3:R$5)^$P$9)</f>
        <v>#DIV/0!</v>
      </c>
      <c r="Z32" s="10" t="e">
        <f t="array" aca="1" ref="Z32" ca="1">SUM(ABS(TRANSPOSE($D32:$F32)-S$3:S$5)^$P$9)</f>
        <v>#DIV/0!</v>
      </c>
      <c r="AA32" s="10" t="e">
        <f t="array" aca="1" ref="AA32" ca="1">SUM(ABS(TRANSPOSE($D32:$F32)-T$3:T$5)^$P$9)</f>
        <v>#DIV/0!</v>
      </c>
      <c r="AB32" s="7" t="e">
        <f t="array" aca="1" ref="AB32" ca="1">SUM(ABS(TRANSPOSE($D32:$F32)-U$3:U$5)^$P$9)</f>
        <v>#DIV/0!</v>
      </c>
      <c r="AC32" s="7" t="e">
        <f t="shared" ca="1" si="10"/>
        <v>#DIV/0!</v>
      </c>
    </row>
    <row r="33" spans="1:29">
      <c r="A33" s="1" t="s">
        <v>115</v>
      </c>
      <c r="B33" s="1"/>
      <c r="C33" s="1" t="s">
        <v>45</v>
      </c>
      <c r="D33" s="2">
        <v>181</v>
      </c>
      <c r="E33" s="2">
        <v>146</v>
      </c>
      <c r="F33" s="5">
        <f t="shared" si="3"/>
        <v>44.565184212936117</v>
      </c>
      <c r="G33" s="4">
        <f t="shared" si="4"/>
        <v>71.259842519685037</v>
      </c>
      <c r="H33">
        <f t="shared" si="5"/>
        <v>5</v>
      </c>
      <c r="I33">
        <f t="shared" si="6"/>
        <v>11.3</v>
      </c>
      <c r="J33" t="str">
        <f t="shared" si="7"/>
        <v>5' 11.3"</v>
      </c>
      <c r="K33">
        <f t="shared" si="8"/>
        <v>322</v>
      </c>
      <c r="L33">
        <f t="shared" si="11"/>
        <v>31</v>
      </c>
      <c r="M33" s="8" t="e">
        <f ca="1"/>
        <v>#NAME?</v>
      </c>
      <c r="W33" s="10" t="e">
        <f t="array" aca="1" ref="W33" ca="1">SUM(ABS(TRANSPOSE($D33:$F33)-P$3:P$5)^$P$9)</f>
        <v>#DIV/0!</v>
      </c>
      <c r="X33" s="10" t="e">
        <f t="array" aca="1" ref="X33" ca="1">SUM(ABS(TRANSPOSE($D33:$F33)-Q$3:Q$5)^$P$9)</f>
        <v>#DIV/0!</v>
      </c>
      <c r="Y33" s="10" t="e">
        <f t="array" aca="1" ref="Y33" ca="1">SUM(ABS(TRANSPOSE($D33:$F33)-R$3:R$5)^$P$9)</f>
        <v>#DIV/0!</v>
      </c>
      <c r="Z33" s="10" t="e">
        <f t="array" aca="1" ref="Z33" ca="1">SUM(ABS(TRANSPOSE($D33:$F33)-S$3:S$5)^$P$9)</f>
        <v>#DIV/0!</v>
      </c>
      <c r="AA33" s="10" t="e">
        <f t="array" aca="1" ref="AA33" ca="1">SUM(ABS(TRANSPOSE($D33:$F33)-T$3:T$5)^$P$9)</f>
        <v>#DIV/0!</v>
      </c>
      <c r="AB33" s="7" t="e">
        <f t="array" aca="1" ref="AB33" ca="1">SUM(ABS(TRANSPOSE($D33:$F33)-U$3:U$5)^$P$9)</f>
        <v>#DIV/0!</v>
      </c>
      <c r="AC33" s="7" t="e">
        <f t="shared" ca="1" si="10"/>
        <v>#DIV/0!</v>
      </c>
    </row>
    <row r="34" spans="1:29">
      <c r="A34" s="1" t="s">
        <v>116</v>
      </c>
      <c r="B34" s="1">
        <v>2</v>
      </c>
      <c r="C34" s="1" t="s">
        <v>31</v>
      </c>
      <c r="D34" s="2">
        <v>180</v>
      </c>
      <c r="E34" s="2">
        <v>174</v>
      </c>
      <c r="F34" s="5">
        <f t="shared" si="3"/>
        <v>53.703703703703702</v>
      </c>
      <c r="G34" s="4">
        <f t="shared" si="4"/>
        <v>70.866141732283467</v>
      </c>
      <c r="H34">
        <f t="shared" si="5"/>
        <v>5</v>
      </c>
      <c r="I34">
        <f t="shared" si="6"/>
        <v>10.9</v>
      </c>
      <c r="J34" t="str">
        <f t="shared" si="7"/>
        <v>5' 10.9"</v>
      </c>
      <c r="K34">
        <f t="shared" si="8"/>
        <v>384</v>
      </c>
      <c r="L34">
        <f t="shared" si="11"/>
        <v>32</v>
      </c>
      <c r="M34" s="8" t="e">
        <f ca="1"/>
        <v>#NAME?</v>
      </c>
      <c r="W34" s="10" t="e">
        <f t="array" aca="1" ref="W34" ca="1">SUM(ABS(TRANSPOSE($D34:$F34)-P$3:P$5)^$P$9)</f>
        <v>#DIV/0!</v>
      </c>
      <c r="X34" s="10" t="e">
        <f t="array" aca="1" ref="X34" ca="1">SUM(ABS(TRANSPOSE($D34:$F34)-Q$3:Q$5)^$P$9)</f>
        <v>#DIV/0!</v>
      </c>
      <c r="Y34" s="10" t="e">
        <f t="array" aca="1" ref="Y34" ca="1">SUM(ABS(TRANSPOSE($D34:$F34)-R$3:R$5)^$P$9)</f>
        <v>#DIV/0!</v>
      </c>
      <c r="Z34" s="10" t="e">
        <f t="array" aca="1" ref="Z34" ca="1">SUM(ABS(TRANSPOSE($D34:$F34)-S$3:S$5)^$P$9)</f>
        <v>#DIV/0!</v>
      </c>
      <c r="AA34" s="10" t="e">
        <f t="array" aca="1" ref="AA34" ca="1">SUM(ABS(TRANSPOSE($D34:$F34)-T$3:T$5)^$P$9)</f>
        <v>#DIV/0!</v>
      </c>
      <c r="AB34" s="7" t="e">
        <f t="array" aca="1" ref="AB34" ca="1">SUM(ABS(TRANSPOSE($D34:$F34)-U$3:U$5)^$P$9)</f>
        <v>#DIV/0!</v>
      </c>
      <c r="AC34" s="7" t="e">
        <f t="shared" ca="1" si="10"/>
        <v>#DIV/0!</v>
      </c>
    </row>
    <row r="35" spans="1:29">
      <c r="A35" s="1" t="s">
        <v>117</v>
      </c>
      <c r="B35" s="1"/>
      <c r="C35" s="1" t="s">
        <v>42</v>
      </c>
      <c r="D35" s="2">
        <v>180</v>
      </c>
      <c r="E35" s="2">
        <v>148</v>
      </c>
      <c r="F35" s="5">
        <f t="shared" si="3"/>
        <v>45.67901234567902</v>
      </c>
      <c r="G35" s="4">
        <f t="shared" si="4"/>
        <v>70.866141732283467</v>
      </c>
      <c r="H35">
        <f t="shared" si="5"/>
        <v>5</v>
      </c>
      <c r="I35">
        <f t="shared" si="6"/>
        <v>10.9</v>
      </c>
      <c r="J35" t="str">
        <f t="shared" si="7"/>
        <v>5' 10.9"</v>
      </c>
      <c r="K35">
        <f t="shared" si="8"/>
        <v>326</v>
      </c>
      <c r="L35">
        <f t="shared" si="11"/>
        <v>33</v>
      </c>
      <c r="M35" s="8" t="e">
        <f ca="1"/>
        <v>#NAME?</v>
      </c>
      <c r="W35" s="10" t="e">
        <f t="array" aca="1" ref="W35" ca="1">SUM(ABS(TRANSPOSE($D35:$F35)-P$3:P$5)^$P$9)</f>
        <v>#DIV/0!</v>
      </c>
      <c r="X35" s="10" t="e">
        <f t="array" aca="1" ref="X35" ca="1">SUM(ABS(TRANSPOSE($D35:$F35)-Q$3:Q$5)^$P$9)</f>
        <v>#DIV/0!</v>
      </c>
      <c r="Y35" s="10" t="e">
        <f t="array" aca="1" ref="Y35" ca="1">SUM(ABS(TRANSPOSE($D35:$F35)-R$3:R$5)^$P$9)</f>
        <v>#DIV/0!</v>
      </c>
      <c r="Z35" s="10" t="e">
        <f t="array" aca="1" ref="Z35" ca="1">SUM(ABS(TRANSPOSE($D35:$F35)-S$3:S$5)^$P$9)</f>
        <v>#DIV/0!</v>
      </c>
      <c r="AA35" s="10" t="e">
        <f t="array" aca="1" ref="AA35" ca="1">SUM(ABS(TRANSPOSE($D35:$F35)-T$3:T$5)^$P$9)</f>
        <v>#DIV/0!</v>
      </c>
      <c r="AB35" s="7" t="e">
        <f t="array" aca="1" ref="AB35" ca="1">SUM(ABS(TRANSPOSE($D35:$F35)-U$3:U$5)^$P$9)</f>
        <v>#DIV/0!</v>
      </c>
      <c r="AC35" s="7" t="e">
        <f t="shared" ca="1" si="10"/>
        <v>#DIV/0!</v>
      </c>
    </row>
    <row r="36" spans="1:29">
      <c r="A36" s="1" t="s">
        <v>118</v>
      </c>
      <c r="B36" s="1"/>
      <c r="C36" s="1" t="s">
        <v>46</v>
      </c>
      <c r="D36" s="2">
        <v>179</v>
      </c>
      <c r="E36" s="2">
        <v>152</v>
      </c>
      <c r="F36" s="5">
        <f t="shared" si="3"/>
        <v>47.439218501295215</v>
      </c>
      <c r="G36" s="4">
        <f t="shared" si="4"/>
        <v>70.472440944881896</v>
      </c>
      <c r="H36">
        <f t="shared" si="5"/>
        <v>5</v>
      </c>
      <c r="I36">
        <f t="shared" si="6"/>
        <v>10.5</v>
      </c>
      <c r="J36" t="str">
        <f t="shared" si="7"/>
        <v>5' 10.5"</v>
      </c>
      <c r="K36">
        <f t="shared" si="8"/>
        <v>335</v>
      </c>
      <c r="L36">
        <f t="shared" si="11"/>
        <v>34</v>
      </c>
      <c r="M36" s="8" t="e">
        <f ca="1"/>
        <v>#NAME?</v>
      </c>
      <c r="W36" s="10" t="e">
        <f t="array" aca="1" ref="W36" ca="1">SUM(ABS(TRANSPOSE($D36:$F36)-P$3:P$5)^$P$9)</f>
        <v>#DIV/0!</v>
      </c>
      <c r="X36" s="10" t="e">
        <f t="array" aca="1" ref="X36" ca="1">SUM(ABS(TRANSPOSE($D36:$F36)-Q$3:Q$5)^$P$9)</f>
        <v>#DIV/0!</v>
      </c>
      <c r="Y36" s="10" t="e">
        <f t="array" aca="1" ref="Y36" ca="1">SUM(ABS(TRANSPOSE($D36:$F36)-R$3:R$5)^$P$9)</f>
        <v>#DIV/0!</v>
      </c>
      <c r="Z36" s="10" t="e">
        <f t="array" aca="1" ref="Z36" ca="1">SUM(ABS(TRANSPOSE($D36:$F36)-S$3:S$5)^$P$9)</f>
        <v>#DIV/0!</v>
      </c>
      <c r="AA36" s="10" t="e">
        <f t="array" aca="1" ref="AA36" ca="1">SUM(ABS(TRANSPOSE($D36:$F36)-T$3:T$5)^$P$9)</f>
        <v>#DIV/0!</v>
      </c>
      <c r="AB36" s="7" t="e">
        <f t="array" aca="1" ref="AB36" ca="1">SUM(ABS(TRANSPOSE($D36:$F36)-U$3:U$5)^$P$9)</f>
        <v>#DIV/0!</v>
      </c>
      <c r="AC36" s="7" t="e">
        <f t="shared" ca="1" si="10"/>
        <v>#DIV/0!</v>
      </c>
    </row>
    <row r="37" spans="1:29">
      <c r="A37" s="1" t="s">
        <v>119</v>
      </c>
      <c r="B37" s="1"/>
      <c r="C37" s="1" t="s">
        <v>20</v>
      </c>
      <c r="D37" s="2">
        <v>178</v>
      </c>
      <c r="E37" s="2">
        <v>176</v>
      </c>
      <c r="F37" s="5">
        <f t="shared" si="3"/>
        <v>55.548541850776424</v>
      </c>
      <c r="G37" s="4">
        <f t="shared" si="4"/>
        <v>70.078740157480311</v>
      </c>
      <c r="H37">
        <f t="shared" si="5"/>
        <v>5</v>
      </c>
      <c r="I37">
        <f t="shared" si="6"/>
        <v>10.1</v>
      </c>
      <c r="J37" t="str">
        <f t="shared" si="7"/>
        <v>5' 10.1"</v>
      </c>
      <c r="K37">
        <f t="shared" si="8"/>
        <v>388</v>
      </c>
      <c r="L37">
        <f t="shared" si="11"/>
        <v>35</v>
      </c>
      <c r="M37" s="8" t="e">
        <f ca="1"/>
        <v>#NAME?</v>
      </c>
      <c r="W37" s="10" t="e">
        <f t="array" aca="1" ref="W37" ca="1">SUM(ABS(TRANSPOSE($D37:$F37)-P$3:P$5)^$P$9)</f>
        <v>#DIV/0!</v>
      </c>
      <c r="X37" s="10" t="e">
        <f t="array" aca="1" ref="X37" ca="1">SUM(ABS(TRANSPOSE($D37:$F37)-Q$3:Q$5)^$P$9)</f>
        <v>#DIV/0!</v>
      </c>
      <c r="Y37" s="10" t="e">
        <f t="array" aca="1" ref="Y37" ca="1">SUM(ABS(TRANSPOSE($D37:$F37)-R$3:R$5)^$P$9)</f>
        <v>#DIV/0!</v>
      </c>
      <c r="Z37" s="10" t="e">
        <f t="array" aca="1" ref="Z37" ca="1">SUM(ABS(TRANSPOSE($D37:$F37)-S$3:S$5)^$P$9)</f>
        <v>#DIV/0!</v>
      </c>
      <c r="AA37" s="10" t="e">
        <f t="array" aca="1" ref="AA37" ca="1">SUM(ABS(TRANSPOSE($D37:$F37)-T$3:T$5)^$P$9)</f>
        <v>#DIV/0!</v>
      </c>
      <c r="AB37" s="7" t="e">
        <f t="array" aca="1" ref="AB37" ca="1">SUM(ABS(TRANSPOSE($D37:$F37)-U$3:U$5)^$P$9)</f>
        <v>#DIV/0!</v>
      </c>
      <c r="AC37" s="7" t="e">
        <f t="shared" ca="1" si="10"/>
        <v>#DIV/0!</v>
      </c>
    </row>
    <row r="38" spans="1:29">
      <c r="A38" s="1" t="s">
        <v>120</v>
      </c>
      <c r="B38" s="1"/>
      <c r="C38" s="1" t="s">
        <v>47</v>
      </c>
      <c r="D38" s="2">
        <v>177</v>
      </c>
      <c r="E38" s="2">
        <v>159</v>
      </c>
      <c r="F38" s="5">
        <f t="shared" si="3"/>
        <v>50.751699703150436</v>
      </c>
      <c r="G38" s="4">
        <f t="shared" si="4"/>
        <v>69.685039370078741</v>
      </c>
      <c r="H38">
        <f t="shared" si="5"/>
        <v>5</v>
      </c>
      <c r="I38">
        <f t="shared" si="6"/>
        <v>9.6999999999999993</v>
      </c>
      <c r="J38" t="str">
        <f t="shared" si="7"/>
        <v>5' 9.7"</v>
      </c>
      <c r="K38">
        <f t="shared" si="8"/>
        <v>351</v>
      </c>
      <c r="L38">
        <f t="shared" si="11"/>
        <v>36</v>
      </c>
      <c r="M38" s="8" t="e">
        <f ca="1"/>
        <v>#NAME?</v>
      </c>
      <c r="W38" s="10" t="e">
        <f t="array" aca="1" ref="W38" ca="1">SUM(ABS(TRANSPOSE($D38:$F38)-P$3:P$5)^$P$9)</f>
        <v>#DIV/0!</v>
      </c>
      <c r="X38" s="10" t="e">
        <f t="array" aca="1" ref="X38" ca="1">SUM(ABS(TRANSPOSE($D38:$F38)-Q$3:Q$5)^$P$9)</f>
        <v>#DIV/0!</v>
      </c>
      <c r="Y38" s="10" t="e">
        <f t="array" aca="1" ref="Y38" ca="1">SUM(ABS(TRANSPOSE($D38:$F38)-R$3:R$5)^$P$9)</f>
        <v>#DIV/0!</v>
      </c>
      <c r="Z38" s="10" t="e">
        <f t="array" aca="1" ref="Z38" ca="1">SUM(ABS(TRANSPOSE($D38:$F38)-S$3:S$5)^$P$9)</f>
        <v>#DIV/0!</v>
      </c>
      <c r="AA38" s="10" t="e">
        <f t="array" aca="1" ref="AA38" ca="1">SUM(ABS(TRANSPOSE($D38:$F38)-T$3:T$5)^$P$9)</f>
        <v>#DIV/0!</v>
      </c>
      <c r="AB38" s="7" t="e">
        <f t="array" aca="1" ref="AB38" ca="1">SUM(ABS(TRANSPOSE($D38:$F38)-U$3:U$5)^$P$9)</f>
        <v>#DIV/0!</v>
      </c>
      <c r="AC38" s="7" t="e">
        <f t="shared" ca="1" si="10"/>
        <v>#DIV/0!</v>
      </c>
    </row>
    <row r="39" spans="1:29">
      <c r="A39" s="1" t="s">
        <v>121</v>
      </c>
      <c r="B39" s="1"/>
      <c r="C39" s="1" t="s">
        <v>48</v>
      </c>
      <c r="D39" s="2">
        <v>176</v>
      </c>
      <c r="E39" s="2">
        <v>147</v>
      </c>
      <c r="F39" s="5">
        <f t="shared" si="3"/>
        <v>47.456095041322314</v>
      </c>
      <c r="G39" s="4">
        <f t="shared" si="4"/>
        <v>69.29133858267717</v>
      </c>
      <c r="H39">
        <f t="shared" si="5"/>
        <v>5</v>
      </c>
      <c r="I39">
        <f t="shared" si="6"/>
        <v>9.3000000000000007</v>
      </c>
      <c r="J39" t="str">
        <f t="shared" si="7"/>
        <v>5' 9.3"</v>
      </c>
      <c r="K39">
        <f t="shared" si="8"/>
        <v>324</v>
      </c>
      <c r="L39">
        <f t="shared" si="11"/>
        <v>37</v>
      </c>
      <c r="M39" s="8" t="e">
        <f ca="1"/>
        <v>#NAME?</v>
      </c>
      <c r="W39" s="10" t="e">
        <f t="array" aca="1" ref="W39" ca="1">SUM(ABS(TRANSPOSE($D39:$F39)-P$3:P$5)^$P$9)</f>
        <v>#DIV/0!</v>
      </c>
      <c r="X39" s="10" t="e">
        <f t="array" aca="1" ref="X39" ca="1">SUM(ABS(TRANSPOSE($D39:$F39)-Q$3:Q$5)^$P$9)</f>
        <v>#DIV/0!</v>
      </c>
      <c r="Y39" s="10" t="e">
        <f t="array" aca="1" ref="Y39" ca="1">SUM(ABS(TRANSPOSE($D39:$F39)-R$3:R$5)^$P$9)</f>
        <v>#DIV/0!</v>
      </c>
      <c r="Z39" s="10" t="e">
        <f t="array" aca="1" ref="Z39" ca="1">SUM(ABS(TRANSPOSE($D39:$F39)-S$3:S$5)^$P$9)</f>
        <v>#DIV/0!</v>
      </c>
      <c r="AA39" s="10" t="e">
        <f t="array" aca="1" ref="AA39" ca="1">SUM(ABS(TRANSPOSE($D39:$F39)-T$3:T$5)^$P$9)</f>
        <v>#DIV/0!</v>
      </c>
      <c r="AB39" s="7" t="e">
        <f t="array" aca="1" ref="AB39" ca="1">SUM(ABS(TRANSPOSE($D39:$F39)-U$3:U$5)^$P$9)</f>
        <v>#DIV/0!</v>
      </c>
      <c r="AC39" s="7" t="e">
        <f t="shared" ca="1" si="10"/>
        <v>#DIV/0!</v>
      </c>
    </row>
    <row r="40" spans="1:29">
      <c r="A40" s="1" t="s">
        <v>122</v>
      </c>
      <c r="B40" s="1"/>
      <c r="C40" s="1" t="s">
        <v>18</v>
      </c>
      <c r="D40" s="2">
        <v>176</v>
      </c>
      <c r="E40" s="2">
        <v>134</v>
      </c>
      <c r="F40" s="5">
        <f t="shared" si="3"/>
        <v>43.259297520661157</v>
      </c>
      <c r="G40" s="4">
        <f t="shared" si="4"/>
        <v>69.29133858267717</v>
      </c>
      <c r="H40">
        <f t="shared" si="5"/>
        <v>5</v>
      </c>
      <c r="I40">
        <f t="shared" si="6"/>
        <v>9.3000000000000007</v>
      </c>
      <c r="J40" t="str">
        <f t="shared" si="7"/>
        <v>5' 9.3"</v>
      </c>
      <c r="K40">
        <f t="shared" si="8"/>
        <v>295</v>
      </c>
      <c r="L40">
        <f t="shared" si="11"/>
        <v>38</v>
      </c>
      <c r="M40" s="8" t="e">
        <f ca="1"/>
        <v>#NAME?</v>
      </c>
      <c r="W40" s="10" t="e">
        <f t="array" aca="1" ref="W40" ca="1">SUM(ABS(TRANSPOSE($D40:$F40)-P$3:P$5)^$P$9)</f>
        <v>#DIV/0!</v>
      </c>
      <c r="X40" s="10" t="e">
        <f t="array" aca="1" ref="X40" ca="1">SUM(ABS(TRANSPOSE($D40:$F40)-Q$3:Q$5)^$P$9)</f>
        <v>#DIV/0!</v>
      </c>
      <c r="Y40" s="10" t="e">
        <f t="array" aca="1" ref="Y40" ca="1">SUM(ABS(TRANSPOSE($D40:$F40)-R$3:R$5)^$P$9)</f>
        <v>#DIV/0!</v>
      </c>
      <c r="Z40" s="10" t="e">
        <f t="array" aca="1" ref="Z40" ca="1">SUM(ABS(TRANSPOSE($D40:$F40)-S$3:S$5)^$P$9)</f>
        <v>#DIV/0!</v>
      </c>
      <c r="AA40" s="10" t="e">
        <f t="array" aca="1" ref="AA40" ca="1">SUM(ABS(TRANSPOSE($D40:$F40)-T$3:T$5)^$P$9)</f>
        <v>#DIV/0!</v>
      </c>
      <c r="AB40" s="7" t="e">
        <f t="array" aca="1" ref="AB40" ca="1">SUM(ABS(TRANSPOSE($D40:$F40)-U$3:U$5)^$P$9)</f>
        <v>#DIV/0!</v>
      </c>
      <c r="AC40" s="7" t="e">
        <f t="shared" ca="1" si="10"/>
        <v>#DIV/0!</v>
      </c>
    </row>
    <row r="41" spans="1:29">
      <c r="A41" s="1" t="s">
        <v>123</v>
      </c>
      <c r="B41" s="1">
        <v>2</v>
      </c>
      <c r="C41" s="1" t="s">
        <v>39</v>
      </c>
      <c r="D41" s="2">
        <v>175</v>
      </c>
      <c r="E41" s="2">
        <v>163</v>
      </c>
      <c r="F41" s="5">
        <f t="shared" si="3"/>
        <v>53.224489795918366</v>
      </c>
      <c r="G41" s="4">
        <f t="shared" si="4"/>
        <v>68.897637795275585</v>
      </c>
      <c r="H41">
        <f t="shared" si="5"/>
        <v>5</v>
      </c>
      <c r="I41">
        <f t="shared" si="6"/>
        <v>8.9</v>
      </c>
      <c r="J41" t="str">
        <f t="shared" si="7"/>
        <v>5' 8.9"</v>
      </c>
      <c r="K41">
        <f t="shared" si="8"/>
        <v>359</v>
      </c>
      <c r="L41">
        <f t="shared" si="11"/>
        <v>39</v>
      </c>
      <c r="M41" s="8" t="e">
        <f ca="1"/>
        <v>#NAME?</v>
      </c>
      <c r="W41" s="10" t="e">
        <f t="array" aca="1" ref="W41" ca="1">SUM(ABS(TRANSPOSE($D41:$F41)-P$3:P$5)^$P$9)</f>
        <v>#DIV/0!</v>
      </c>
      <c r="X41" s="10" t="e">
        <f t="array" aca="1" ref="X41" ca="1">SUM(ABS(TRANSPOSE($D41:$F41)-Q$3:Q$5)^$P$9)</f>
        <v>#DIV/0!</v>
      </c>
      <c r="Y41" s="10" t="e">
        <f t="array" aca="1" ref="Y41" ca="1">SUM(ABS(TRANSPOSE($D41:$F41)-R$3:R$5)^$P$9)</f>
        <v>#DIV/0!</v>
      </c>
      <c r="Z41" s="10" t="e">
        <f t="array" aca="1" ref="Z41" ca="1">SUM(ABS(TRANSPOSE($D41:$F41)-S$3:S$5)^$P$9)</f>
        <v>#DIV/0!</v>
      </c>
      <c r="AA41" s="10" t="e">
        <f t="array" aca="1" ref="AA41" ca="1">SUM(ABS(TRANSPOSE($D41:$F41)-T$3:T$5)^$P$9)</f>
        <v>#DIV/0!</v>
      </c>
      <c r="AB41" s="7" t="e">
        <f t="array" aca="1" ref="AB41" ca="1">SUM(ABS(TRANSPOSE($D41:$F41)-U$3:U$5)^$P$9)</f>
        <v>#DIV/0!</v>
      </c>
      <c r="AC41" s="7" t="e">
        <f t="shared" ca="1" si="10"/>
        <v>#DIV/0!</v>
      </c>
    </row>
    <row r="42" spans="1:29">
      <c r="A42" s="1" t="s">
        <v>124</v>
      </c>
      <c r="B42" s="1"/>
      <c r="C42" s="1" t="s">
        <v>49</v>
      </c>
      <c r="D42" s="2">
        <v>175</v>
      </c>
      <c r="E42" s="2">
        <v>134</v>
      </c>
      <c r="F42" s="5">
        <f t="shared" si="3"/>
        <v>43.755102040816325</v>
      </c>
      <c r="G42" s="4">
        <f t="shared" si="4"/>
        <v>68.897637795275585</v>
      </c>
      <c r="H42">
        <f t="shared" si="5"/>
        <v>5</v>
      </c>
      <c r="I42">
        <f t="shared" si="6"/>
        <v>8.9</v>
      </c>
      <c r="J42" t="str">
        <f t="shared" si="7"/>
        <v>5' 8.9"</v>
      </c>
      <c r="K42">
        <f t="shared" si="8"/>
        <v>295</v>
      </c>
      <c r="L42">
        <f t="shared" si="11"/>
        <v>40</v>
      </c>
      <c r="M42" s="8" t="e">
        <f ca="1"/>
        <v>#NAME?</v>
      </c>
      <c r="W42" s="10" t="e">
        <f t="array" aca="1" ref="W42" ca="1">SUM(ABS(TRANSPOSE($D42:$F42)-P$3:P$5)^$P$9)</f>
        <v>#DIV/0!</v>
      </c>
      <c r="X42" s="10" t="e">
        <f t="array" aca="1" ref="X42" ca="1">SUM(ABS(TRANSPOSE($D42:$F42)-Q$3:Q$5)^$P$9)</f>
        <v>#DIV/0!</v>
      </c>
      <c r="Y42" s="10" t="e">
        <f t="array" aca="1" ref="Y42" ca="1">SUM(ABS(TRANSPOSE($D42:$F42)-R$3:R$5)^$P$9)</f>
        <v>#DIV/0!</v>
      </c>
      <c r="Z42" s="10" t="e">
        <f t="array" aca="1" ref="Z42" ca="1">SUM(ABS(TRANSPOSE($D42:$F42)-S$3:S$5)^$P$9)</f>
        <v>#DIV/0!</v>
      </c>
      <c r="AA42" s="10" t="e">
        <f t="array" aca="1" ref="AA42" ca="1">SUM(ABS(TRANSPOSE($D42:$F42)-T$3:T$5)^$P$9)</f>
        <v>#DIV/0!</v>
      </c>
      <c r="AB42" s="7" t="e">
        <f t="array" aca="1" ref="AB42" ca="1">SUM(ABS(TRANSPOSE($D42:$F42)-U$3:U$5)^$P$9)</f>
        <v>#DIV/0!</v>
      </c>
      <c r="AC42" s="7" t="e">
        <f t="shared" ca="1" si="10"/>
        <v>#DIV/0!</v>
      </c>
    </row>
    <row r="43" spans="1:29">
      <c r="A43" s="1" t="s">
        <v>125</v>
      </c>
      <c r="B43" s="1"/>
      <c r="C43" s="1" t="s">
        <v>50</v>
      </c>
      <c r="D43" s="2">
        <v>172</v>
      </c>
      <c r="E43" s="2">
        <v>118</v>
      </c>
      <c r="F43" s="5">
        <f t="shared" si="3"/>
        <v>39.886425094645752</v>
      </c>
      <c r="G43" s="4">
        <f t="shared" si="4"/>
        <v>67.716535433070874</v>
      </c>
      <c r="H43">
        <f t="shared" si="5"/>
        <v>5</v>
      </c>
      <c r="I43">
        <f t="shared" si="6"/>
        <v>7.7</v>
      </c>
      <c r="J43" t="str">
        <f t="shared" si="7"/>
        <v>5' 7.7"</v>
      </c>
      <c r="K43">
        <f t="shared" si="8"/>
        <v>260</v>
      </c>
      <c r="L43">
        <f t="shared" si="11"/>
        <v>41</v>
      </c>
      <c r="M43" s="8" t="e">
        <f ca="1"/>
        <v>#NAME?</v>
      </c>
      <c r="W43" s="10" t="e">
        <f t="array" aca="1" ref="W43" ca="1">SUM(ABS(TRANSPOSE($D43:$F43)-P$3:P$5)^$P$9)</f>
        <v>#DIV/0!</v>
      </c>
      <c r="X43" s="10" t="e">
        <f t="array" aca="1" ref="X43" ca="1">SUM(ABS(TRANSPOSE($D43:$F43)-Q$3:Q$5)^$P$9)</f>
        <v>#DIV/0!</v>
      </c>
      <c r="Y43" s="10" t="e">
        <f t="array" aca="1" ref="Y43" ca="1">SUM(ABS(TRANSPOSE($D43:$F43)-R$3:R$5)^$P$9)</f>
        <v>#DIV/0!</v>
      </c>
      <c r="Z43" s="10" t="e">
        <f t="array" aca="1" ref="Z43" ca="1">SUM(ABS(TRANSPOSE($D43:$F43)-S$3:S$5)^$P$9)</f>
        <v>#DIV/0!</v>
      </c>
      <c r="AA43" s="10" t="e">
        <f t="array" aca="1" ref="AA43" ca="1">SUM(ABS(TRANSPOSE($D43:$F43)-T$3:T$5)^$P$9)</f>
        <v>#DIV/0!</v>
      </c>
      <c r="AB43" s="7" t="e">
        <f t="array" aca="1" ref="AB43" ca="1">SUM(ABS(TRANSPOSE($D43:$F43)-U$3:U$5)^$P$9)</f>
        <v>#DIV/0!</v>
      </c>
      <c r="AC43" s="7" t="e">
        <f t="shared" ca="1" si="10"/>
        <v>#DIV/0!</v>
      </c>
    </row>
    <row r="44" spans="1:29">
      <c r="A44" s="1" t="s">
        <v>126</v>
      </c>
      <c r="B44" s="1"/>
      <c r="C44" s="1" t="s">
        <v>51</v>
      </c>
      <c r="D44" s="2">
        <v>169</v>
      </c>
      <c r="E44" s="2">
        <v>117</v>
      </c>
      <c r="F44" s="5">
        <f t="shared" si="3"/>
        <v>40.964952207555754</v>
      </c>
      <c r="G44" s="4">
        <f t="shared" si="4"/>
        <v>66.535433070866134</v>
      </c>
      <c r="H44">
        <f t="shared" si="5"/>
        <v>5</v>
      </c>
      <c r="I44">
        <f t="shared" si="6"/>
        <v>6.5</v>
      </c>
      <c r="J44" t="str">
        <f t="shared" si="7"/>
        <v>5' 6.5"</v>
      </c>
      <c r="K44">
        <f t="shared" si="8"/>
        <v>258</v>
      </c>
      <c r="L44">
        <f t="shared" si="11"/>
        <v>42</v>
      </c>
      <c r="M44" s="9" t="e">
        <f ca="1"/>
        <v>#NAME?</v>
      </c>
      <c r="W44" s="16" t="e">
        <f t="array" aca="1" ref="W44" ca="1">SUM(ABS(TRANSPOSE($D44:$F44)-P$3:P$5)^$P$9)</f>
        <v>#DIV/0!</v>
      </c>
      <c r="X44" s="16" t="e">
        <f t="array" aca="1" ref="X44" ca="1">SUM(ABS(TRANSPOSE($D44:$F44)-Q$3:Q$5)^$P$9)</f>
        <v>#DIV/0!</v>
      </c>
      <c r="Y44" s="16" t="e">
        <f t="array" aca="1" ref="Y44" ca="1">SUM(ABS(TRANSPOSE($D44:$F44)-R$3:R$5)^$P$9)</f>
        <v>#DIV/0!</v>
      </c>
      <c r="Z44" s="16" t="e">
        <f t="array" aca="1" ref="Z44" ca="1">SUM(ABS(TRANSPOSE($D44:$F44)-S$3:S$5)^$P$9)</f>
        <v>#DIV/0!</v>
      </c>
      <c r="AA44" s="16" t="e">
        <f t="array" aca="1" ref="AA44" ca="1">SUM(ABS(TRANSPOSE($D44:$F44)-T$3:T$5)^$P$9)</f>
        <v>#DIV/0!</v>
      </c>
      <c r="AB44" s="6" t="e">
        <f t="array" aca="1" ref="AB44" ca="1">SUM(ABS(TRANSPOSE($D44:$F44)-U$3:U$5)^$P$9)</f>
        <v>#DIV/0!</v>
      </c>
      <c r="AC44" s="6" t="e">
        <f t="shared" ca="1" si="10"/>
        <v>#DIV/0!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2E5FC-5096-4B3F-A120-C0631CA4448F}">
  <sheetPr codeName="Sheet7"/>
  <dimension ref="A2:M44"/>
  <sheetViews>
    <sheetView zoomScale="130" zoomScaleNormal="130" workbookViewId="0">
      <selection sqref="A1:E1048576"/>
    </sheetView>
  </sheetViews>
  <sheetFormatPr defaultRowHeight="14.5"/>
  <cols>
    <col min="1" max="3" width="21.1796875" customWidth="1"/>
    <col min="6" max="6" width="11.26953125" bestFit="1" customWidth="1"/>
    <col min="7" max="7" width="9" style="4"/>
  </cols>
  <sheetData>
    <row r="2" spans="1:13">
      <c r="A2" t="s">
        <v>3</v>
      </c>
      <c r="B2" t="s">
        <v>11</v>
      </c>
      <c r="C2" t="s">
        <v>12</v>
      </c>
      <c r="D2" t="s">
        <v>5</v>
      </c>
      <c r="E2" t="s">
        <v>4</v>
      </c>
      <c r="F2" t="s">
        <v>26</v>
      </c>
      <c r="G2" s="4" t="s">
        <v>6</v>
      </c>
      <c r="H2" t="s">
        <v>7</v>
      </c>
      <c r="I2" t="s">
        <v>8</v>
      </c>
      <c r="J2" t="s">
        <v>9</v>
      </c>
      <c r="K2" t="s">
        <v>10</v>
      </c>
      <c r="M2" s="15" t="s">
        <v>52</v>
      </c>
    </row>
    <row r="3" spans="1:13">
      <c r="A3" s="1" t="s">
        <v>95</v>
      </c>
      <c r="B3" s="1"/>
      <c r="C3" s="1" t="s">
        <v>25</v>
      </c>
      <c r="D3" s="2">
        <v>187</v>
      </c>
      <c r="E3" s="2">
        <v>132</v>
      </c>
      <c r="F3" s="5">
        <v>37.747719408619062</v>
      </c>
      <c r="G3" s="4">
        <v>73.622047244094489</v>
      </c>
      <c r="H3">
        <v>6</v>
      </c>
      <c r="I3">
        <v>1.6</v>
      </c>
      <c r="J3" t="s">
        <v>69</v>
      </c>
      <c r="K3">
        <v>291</v>
      </c>
      <c r="L3">
        <v>11</v>
      </c>
      <c r="M3" s="7">
        <v>1</v>
      </c>
    </row>
    <row r="4" spans="1:13">
      <c r="A4" s="1" t="s">
        <v>100</v>
      </c>
      <c r="B4" s="1"/>
      <c r="C4" s="1" t="s">
        <v>17</v>
      </c>
      <c r="D4" s="2">
        <v>186</v>
      </c>
      <c r="E4" s="2">
        <v>138</v>
      </c>
      <c r="F4" s="5">
        <v>39.889004509191814</v>
      </c>
      <c r="G4" s="4">
        <v>73.228346456692918</v>
      </c>
      <c r="H4">
        <v>6</v>
      </c>
      <c r="I4">
        <v>1.2</v>
      </c>
      <c r="J4" t="s">
        <v>71</v>
      </c>
      <c r="K4">
        <v>304</v>
      </c>
      <c r="L4">
        <v>16</v>
      </c>
      <c r="M4" s="8">
        <v>1</v>
      </c>
    </row>
    <row r="5" spans="1:13">
      <c r="A5" s="1" t="s">
        <v>102</v>
      </c>
      <c r="B5" s="1"/>
      <c r="C5" s="1" t="s">
        <v>32</v>
      </c>
      <c r="D5" s="2">
        <v>185</v>
      </c>
      <c r="E5" s="2">
        <v>140</v>
      </c>
      <c r="F5" s="5">
        <v>40.905770635500367</v>
      </c>
      <c r="G5" s="4">
        <v>72.834645669291348</v>
      </c>
      <c r="H5">
        <v>6</v>
      </c>
      <c r="I5">
        <v>0.8</v>
      </c>
      <c r="J5" t="s">
        <v>72</v>
      </c>
      <c r="K5">
        <v>309</v>
      </c>
      <c r="L5">
        <v>18</v>
      </c>
      <c r="M5" s="8">
        <v>1</v>
      </c>
    </row>
    <row r="6" spans="1:13">
      <c r="A6" s="1" t="s">
        <v>110</v>
      </c>
      <c r="B6" s="1"/>
      <c r="C6" s="1" t="s">
        <v>40</v>
      </c>
      <c r="D6" s="2">
        <v>183</v>
      </c>
      <c r="E6" s="2">
        <v>141</v>
      </c>
      <c r="F6" s="5">
        <v>42.103377228343632</v>
      </c>
      <c r="G6" s="4">
        <v>72.047244094488192</v>
      </c>
      <c r="H6">
        <v>6</v>
      </c>
      <c r="I6">
        <v>0</v>
      </c>
      <c r="J6" t="s">
        <v>70</v>
      </c>
      <c r="K6">
        <v>311</v>
      </c>
      <c r="L6">
        <v>26</v>
      </c>
      <c r="M6" s="8">
        <v>1</v>
      </c>
    </row>
    <row r="7" spans="1:13">
      <c r="A7" s="1" t="s">
        <v>111</v>
      </c>
      <c r="B7" s="1"/>
      <c r="C7" s="1" t="s">
        <v>41</v>
      </c>
      <c r="D7" s="2">
        <v>183</v>
      </c>
      <c r="E7" s="2">
        <v>140</v>
      </c>
      <c r="F7" s="5">
        <v>41.804771716085874</v>
      </c>
      <c r="G7" s="4">
        <v>72.047244094488192</v>
      </c>
      <c r="H7">
        <v>6</v>
      </c>
      <c r="I7">
        <v>0</v>
      </c>
      <c r="J7" t="s">
        <v>70</v>
      </c>
      <c r="K7">
        <v>309</v>
      </c>
      <c r="L7">
        <v>27</v>
      </c>
      <c r="M7" s="8">
        <v>1</v>
      </c>
    </row>
    <row r="8" spans="1:13">
      <c r="A8" s="1" t="s">
        <v>114</v>
      </c>
      <c r="B8" s="1"/>
      <c r="C8" s="1" t="s">
        <v>44</v>
      </c>
      <c r="D8" s="2">
        <v>182</v>
      </c>
      <c r="E8" s="2">
        <v>130</v>
      </c>
      <c r="F8" s="5">
        <v>39.246467817896388</v>
      </c>
      <c r="G8" s="4">
        <v>71.653543307086608</v>
      </c>
      <c r="H8">
        <v>5</v>
      </c>
      <c r="I8">
        <v>11.7</v>
      </c>
      <c r="J8" t="s">
        <v>74</v>
      </c>
      <c r="K8">
        <v>287</v>
      </c>
      <c r="L8">
        <v>30</v>
      </c>
      <c r="M8" s="8">
        <v>1</v>
      </c>
    </row>
    <row r="9" spans="1:13">
      <c r="A9" s="1" t="s">
        <v>122</v>
      </c>
      <c r="B9" s="1"/>
      <c r="C9" s="1" t="s">
        <v>18</v>
      </c>
      <c r="D9" s="2">
        <v>176</v>
      </c>
      <c r="E9" s="2">
        <v>134</v>
      </c>
      <c r="F9" s="5">
        <v>43.259297520661157</v>
      </c>
      <c r="G9" s="4">
        <v>69.29133858267717</v>
      </c>
      <c r="H9">
        <v>5</v>
      </c>
      <c r="I9">
        <v>9.3000000000000007</v>
      </c>
      <c r="J9" t="s">
        <v>80</v>
      </c>
      <c r="K9">
        <v>295</v>
      </c>
      <c r="L9">
        <v>38</v>
      </c>
      <c r="M9" s="8">
        <v>1</v>
      </c>
    </row>
    <row r="10" spans="1:13">
      <c r="A10" s="1" t="s">
        <v>124</v>
      </c>
      <c r="B10" s="1"/>
      <c r="C10" s="1" t="s">
        <v>49</v>
      </c>
      <c r="D10" s="2">
        <v>175</v>
      </c>
      <c r="E10" s="2">
        <v>134</v>
      </c>
      <c r="F10" s="5">
        <v>43.755102040816325</v>
      </c>
      <c r="G10" s="4">
        <v>68.897637795275585</v>
      </c>
      <c r="H10">
        <v>5</v>
      </c>
      <c r="I10">
        <v>8.9</v>
      </c>
      <c r="J10" t="s">
        <v>81</v>
      </c>
      <c r="K10">
        <v>295</v>
      </c>
      <c r="L10">
        <v>40</v>
      </c>
      <c r="M10" s="8">
        <v>1</v>
      </c>
    </row>
    <row r="11" spans="1:13">
      <c r="A11" s="1" t="s">
        <v>125</v>
      </c>
      <c r="B11" s="1"/>
      <c r="C11" s="1" t="s">
        <v>50</v>
      </c>
      <c r="D11" s="2">
        <v>172</v>
      </c>
      <c r="E11" s="2">
        <v>118</v>
      </c>
      <c r="F11" s="5">
        <v>39.886425094645752</v>
      </c>
      <c r="G11" s="4">
        <v>67.716535433070874</v>
      </c>
      <c r="H11">
        <v>5</v>
      </c>
      <c r="I11">
        <v>7.7</v>
      </c>
      <c r="J11" t="s">
        <v>82</v>
      </c>
      <c r="K11">
        <v>260</v>
      </c>
      <c r="L11">
        <v>41</v>
      </c>
      <c r="M11" s="8">
        <v>1</v>
      </c>
    </row>
    <row r="12" spans="1:13">
      <c r="A12" s="1" t="s">
        <v>126</v>
      </c>
      <c r="B12" s="1"/>
      <c r="C12" s="1" t="s">
        <v>51</v>
      </c>
      <c r="D12" s="2">
        <v>169</v>
      </c>
      <c r="E12" s="2">
        <v>117</v>
      </c>
      <c r="F12" s="5">
        <v>40.964952207555754</v>
      </c>
      <c r="G12" s="4">
        <v>66.535433070866134</v>
      </c>
      <c r="H12">
        <v>5</v>
      </c>
      <c r="I12">
        <v>6.5</v>
      </c>
      <c r="J12" t="s">
        <v>83</v>
      </c>
      <c r="K12">
        <v>258</v>
      </c>
      <c r="L12">
        <v>42</v>
      </c>
      <c r="M12" s="8">
        <v>1</v>
      </c>
    </row>
    <row r="13" spans="1:13">
      <c r="A13" s="1" t="s">
        <v>85</v>
      </c>
      <c r="B13" s="1"/>
      <c r="C13" s="1" t="s">
        <v>13</v>
      </c>
      <c r="D13" s="2">
        <v>194</v>
      </c>
      <c r="E13" s="2">
        <v>194</v>
      </c>
      <c r="F13" s="5">
        <v>51.546391752577321</v>
      </c>
      <c r="G13" s="4">
        <v>76.377952755905511</v>
      </c>
      <c r="H13">
        <v>6</v>
      </c>
      <c r="I13">
        <v>4.4000000000000004</v>
      </c>
      <c r="J13" t="s">
        <v>63</v>
      </c>
      <c r="K13">
        <v>428</v>
      </c>
      <c r="L13">
        <v>1</v>
      </c>
      <c r="M13" s="8">
        <v>2</v>
      </c>
    </row>
    <row r="14" spans="1:13">
      <c r="A14" s="1" t="s">
        <v>86</v>
      </c>
      <c r="B14" s="1">
        <v>5</v>
      </c>
      <c r="C14" s="1" t="s">
        <v>14</v>
      </c>
      <c r="D14" s="2">
        <v>192</v>
      </c>
      <c r="E14" s="2">
        <v>184</v>
      </c>
      <c r="F14" s="5">
        <v>49.913194444444443</v>
      </c>
      <c r="G14" s="4">
        <v>75.59055118110237</v>
      </c>
      <c r="H14">
        <v>6</v>
      </c>
      <c r="I14">
        <v>3.6</v>
      </c>
      <c r="J14" t="s">
        <v>64</v>
      </c>
      <c r="K14">
        <v>406</v>
      </c>
      <c r="L14">
        <v>2</v>
      </c>
      <c r="M14" s="8">
        <v>3</v>
      </c>
    </row>
    <row r="15" spans="1:13">
      <c r="A15" s="1" t="s">
        <v>87</v>
      </c>
      <c r="B15" s="1">
        <v>1</v>
      </c>
      <c r="C15" s="1" t="s">
        <v>15</v>
      </c>
      <c r="D15" s="2">
        <v>191</v>
      </c>
      <c r="E15" s="2">
        <v>182</v>
      </c>
      <c r="F15" s="5">
        <v>49.888983306378663</v>
      </c>
      <c r="G15" s="4">
        <v>75.196850393700785</v>
      </c>
      <c r="H15">
        <v>6</v>
      </c>
      <c r="I15">
        <v>3.2</v>
      </c>
      <c r="J15" t="s">
        <v>65</v>
      </c>
      <c r="K15">
        <v>401</v>
      </c>
      <c r="L15">
        <v>3</v>
      </c>
      <c r="M15" s="8">
        <v>3</v>
      </c>
    </row>
    <row r="16" spans="1:13">
      <c r="A16" s="1" t="s">
        <v>88</v>
      </c>
      <c r="B16" s="1"/>
      <c r="C16" s="1" t="s">
        <v>16</v>
      </c>
      <c r="D16" s="2">
        <v>191</v>
      </c>
      <c r="E16" s="2">
        <v>182</v>
      </c>
      <c r="F16" s="5">
        <v>49.888983306378663</v>
      </c>
      <c r="G16" s="4">
        <v>75.196850393700785</v>
      </c>
      <c r="H16">
        <v>6</v>
      </c>
      <c r="I16">
        <v>3.2</v>
      </c>
      <c r="J16" t="s">
        <v>65</v>
      </c>
      <c r="K16">
        <v>401</v>
      </c>
      <c r="L16" s="14">
        <v>4</v>
      </c>
      <c r="M16" s="8">
        <v>3</v>
      </c>
    </row>
    <row r="17" spans="1:13">
      <c r="A17" s="1" t="s">
        <v>91</v>
      </c>
      <c r="B17" s="1"/>
      <c r="C17" s="1" t="s">
        <v>19</v>
      </c>
      <c r="D17" s="2">
        <v>190</v>
      </c>
      <c r="E17" s="2">
        <v>183</v>
      </c>
      <c r="F17" s="5">
        <v>50.692520775623272</v>
      </c>
      <c r="G17" s="4">
        <v>74.803149606299215</v>
      </c>
      <c r="H17">
        <v>6</v>
      </c>
      <c r="I17">
        <v>2.8</v>
      </c>
      <c r="J17" t="s">
        <v>66</v>
      </c>
      <c r="K17">
        <v>403</v>
      </c>
      <c r="L17">
        <v>7</v>
      </c>
      <c r="M17" s="8">
        <v>3</v>
      </c>
    </row>
    <row r="18" spans="1:13">
      <c r="A18" s="1" t="s">
        <v>113</v>
      </c>
      <c r="B18" s="1"/>
      <c r="C18" s="1" t="s">
        <v>43</v>
      </c>
      <c r="D18" s="2">
        <v>181</v>
      </c>
      <c r="E18" s="2">
        <v>189</v>
      </c>
      <c r="F18" s="5">
        <v>57.690546686609082</v>
      </c>
      <c r="G18" s="4">
        <v>71.259842519685037</v>
      </c>
      <c r="H18">
        <v>5</v>
      </c>
      <c r="I18">
        <v>11.3</v>
      </c>
      <c r="J18" t="s">
        <v>75</v>
      </c>
      <c r="K18">
        <v>417</v>
      </c>
      <c r="L18">
        <v>29</v>
      </c>
      <c r="M18" s="8">
        <v>3</v>
      </c>
    </row>
    <row r="19" spans="1:13">
      <c r="A19" s="1" t="s">
        <v>92</v>
      </c>
      <c r="B19" s="1">
        <v>1</v>
      </c>
      <c r="C19" s="1" t="s">
        <v>24</v>
      </c>
      <c r="D19" s="2">
        <v>189</v>
      </c>
      <c r="E19" s="2">
        <v>172</v>
      </c>
      <c r="F19" s="5">
        <v>48.150947621847095</v>
      </c>
      <c r="G19" s="4">
        <v>74.409448818897644</v>
      </c>
      <c r="H19">
        <v>6</v>
      </c>
      <c r="I19">
        <v>2.4</v>
      </c>
      <c r="J19" t="s">
        <v>67</v>
      </c>
      <c r="K19">
        <v>379</v>
      </c>
      <c r="L19">
        <v>8</v>
      </c>
      <c r="M19" s="8">
        <v>4</v>
      </c>
    </row>
    <row r="20" spans="1:13">
      <c r="A20" s="1" t="s">
        <v>94</v>
      </c>
      <c r="B20" s="1"/>
      <c r="C20" s="1" t="s">
        <v>21</v>
      </c>
      <c r="D20" s="2">
        <v>188</v>
      </c>
      <c r="E20" s="2">
        <v>165</v>
      </c>
      <c r="F20" s="5">
        <v>46.684019918515169</v>
      </c>
      <c r="G20" s="4">
        <v>74.015748031496059</v>
      </c>
      <c r="H20">
        <v>6</v>
      </c>
      <c r="I20">
        <v>2</v>
      </c>
      <c r="J20" t="s">
        <v>68</v>
      </c>
      <c r="K20">
        <v>364</v>
      </c>
      <c r="L20">
        <v>10</v>
      </c>
      <c r="M20" s="8">
        <v>4</v>
      </c>
    </row>
    <row r="21" spans="1:13">
      <c r="A21" s="1" t="s">
        <v>96</v>
      </c>
      <c r="B21" s="1"/>
      <c r="C21" s="1" t="s">
        <v>27</v>
      </c>
      <c r="D21" s="2">
        <v>187</v>
      </c>
      <c r="E21" s="2">
        <v>175</v>
      </c>
      <c r="F21" s="5">
        <v>50.044324973548001</v>
      </c>
      <c r="G21" s="4">
        <v>73.622047244094489</v>
      </c>
      <c r="H21">
        <v>6</v>
      </c>
      <c r="I21">
        <v>1.6</v>
      </c>
      <c r="J21" t="s">
        <v>69</v>
      </c>
      <c r="K21">
        <v>386</v>
      </c>
      <c r="L21">
        <v>12</v>
      </c>
      <c r="M21" s="8">
        <v>4</v>
      </c>
    </row>
    <row r="22" spans="1:13">
      <c r="A22" s="1" t="s">
        <v>101</v>
      </c>
      <c r="B22" s="1"/>
      <c r="C22" s="1" t="s">
        <v>31</v>
      </c>
      <c r="D22" s="2">
        <v>185</v>
      </c>
      <c r="E22" s="2">
        <v>164</v>
      </c>
      <c r="F22" s="5">
        <v>47.918188458728999</v>
      </c>
      <c r="G22" s="4">
        <v>72.834645669291348</v>
      </c>
      <c r="H22">
        <v>6</v>
      </c>
      <c r="I22">
        <v>0.8</v>
      </c>
      <c r="J22" t="s">
        <v>72</v>
      </c>
      <c r="K22">
        <v>362</v>
      </c>
      <c r="L22">
        <v>17</v>
      </c>
      <c r="M22" s="8">
        <v>4</v>
      </c>
    </row>
    <row r="23" spans="1:13">
      <c r="A23" s="1" t="s">
        <v>103</v>
      </c>
      <c r="B23" s="1"/>
      <c r="C23" s="1" t="s">
        <v>33</v>
      </c>
      <c r="D23" s="2">
        <v>185</v>
      </c>
      <c r="E23" s="2">
        <v>168</v>
      </c>
      <c r="F23" s="5">
        <v>49.086924762600439</v>
      </c>
      <c r="G23" s="4">
        <v>72.834645669291348</v>
      </c>
      <c r="H23">
        <v>6</v>
      </c>
      <c r="I23">
        <v>0.8</v>
      </c>
      <c r="J23" t="s">
        <v>72</v>
      </c>
      <c r="K23">
        <v>370</v>
      </c>
      <c r="L23">
        <v>19</v>
      </c>
      <c r="M23" s="8">
        <v>4</v>
      </c>
    </row>
    <row r="24" spans="1:13">
      <c r="A24" s="1" t="s">
        <v>104</v>
      </c>
      <c r="B24" s="1"/>
      <c r="C24" s="1" t="s">
        <v>34</v>
      </c>
      <c r="D24" s="2">
        <v>185</v>
      </c>
      <c r="E24" s="2">
        <v>168</v>
      </c>
      <c r="F24" s="5">
        <v>49.086924762600439</v>
      </c>
      <c r="G24" s="4">
        <v>72.834645669291348</v>
      </c>
      <c r="H24">
        <v>6</v>
      </c>
      <c r="I24">
        <v>0.8</v>
      </c>
      <c r="J24" t="s">
        <v>72</v>
      </c>
      <c r="K24">
        <v>370</v>
      </c>
      <c r="L24">
        <v>20</v>
      </c>
      <c r="M24" s="8">
        <v>4</v>
      </c>
    </row>
    <row r="25" spans="1:13">
      <c r="A25" s="1" t="s">
        <v>105</v>
      </c>
      <c r="B25" s="1"/>
      <c r="C25" s="1" t="s">
        <v>35</v>
      </c>
      <c r="D25" s="2">
        <v>185</v>
      </c>
      <c r="E25" s="2">
        <v>168</v>
      </c>
      <c r="F25" s="5">
        <v>49.086924762600439</v>
      </c>
      <c r="G25" s="4">
        <v>72.834645669291348</v>
      </c>
      <c r="H25">
        <v>6</v>
      </c>
      <c r="I25">
        <v>0.8</v>
      </c>
      <c r="J25" t="s">
        <v>72</v>
      </c>
      <c r="K25">
        <v>370</v>
      </c>
      <c r="L25">
        <v>21</v>
      </c>
      <c r="M25" s="8">
        <v>4</v>
      </c>
    </row>
    <row r="26" spans="1:13">
      <c r="A26" s="1" t="s">
        <v>106</v>
      </c>
      <c r="B26" s="1"/>
      <c r="C26" s="1" t="s">
        <v>36</v>
      </c>
      <c r="D26" s="2">
        <v>184</v>
      </c>
      <c r="E26" s="2">
        <v>167</v>
      </c>
      <c r="F26" s="5">
        <v>49.326559546313803</v>
      </c>
      <c r="G26" s="4">
        <v>72.440944881889763</v>
      </c>
      <c r="H26">
        <v>6</v>
      </c>
      <c r="I26">
        <v>0.4</v>
      </c>
      <c r="J26" t="s">
        <v>73</v>
      </c>
      <c r="K26">
        <v>368</v>
      </c>
      <c r="L26">
        <v>22</v>
      </c>
      <c r="M26" s="8">
        <v>4</v>
      </c>
    </row>
    <row r="27" spans="1:13">
      <c r="A27" s="1" t="s">
        <v>107</v>
      </c>
      <c r="B27" s="1"/>
      <c r="C27" s="1" t="s">
        <v>37</v>
      </c>
      <c r="D27" s="2">
        <v>184</v>
      </c>
      <c r="E27" s="2">
        <v>174</v>
      </c>
      <c r="F27" s="5">
        <v>51.394139886578444</v>
      </c>
      <c r="G27" s="4">
        <v>72.440944881889763</v>
      </c>
      <c r="H27">
        <v>6</v>
      </c>
      <c r="I27">
        <v>0.4</v>
      </c>
      <c r="J27" t="s">
        <v>73</v>
      </c>
      <c r="K27">
        <v>384</v>
      </c>
      <c r="L27">
        <v>23</v>
      </c>
      <c r="M27" s="8">
        <v>4</v>
      </c>
    </row>
    <row r="28" spans="1:13">
      <c r="A28" s="1" t="s">
        <v>109</v>
      </c>
      <c r="B28" s="1">
        <v>1</v>
      </c>
      <c r="C28" s="1" t="s">
        <v>39</v>
      </c>
      <c r="D28" s="2">
        <v>183</v>
      </c>
      <c r="E28" s="2">
        <v>167</v>
      </c>
      <c r="F28" s="5">
        <v>49.867120547045296</v>
      </c>
      <c r="G28" s="4">
        <v>72.047244094488192</v>
      </c>
      <c r="H28">
        <v>6</v>
      </c>
      <c r="I28">
        <v>0</v>
      </c>
      <c r="J28" t="s">
        <v>70</v>
      </c>
      <c r="K28">
        <v>368</v>
      </c>
      <c r="L28">
        <v>25</v>
      </c>
      <c r="M28" s="8">
        <v>4</v>
      </c>
    </row>
    <row r="29" spans="1:13">
      <c r="A29" s="1" t="s">
        <v>112</v>
      </c>
      <c r="B29" s="1">
        <v>1</v>
      </c>
      <c r="C29" s="1" t="s">
        <v>42</v>
      </c>
      <c r="D29" s="2">
        <v>182</v>
      </c>
      <c r="E29" s="2">
        <v>162</v>
      </c>
      <c r="F29" s="5">
        <v>48.907136819224732</v>
      </c>
      <c r="G29" s="4">
        <v>71.653543307086608</v>
      </c>
      <c r="H29">
        <v>5</v>
      </c>
      <c r="I29">
        <v>11.7</v>
      </c>
      <c r="J29" t="s">
        <v>74</v>
      </c>
      <c r="K29">
        <v>357</v>
      </c>
      <c r="L29">
        <v>28</v>
      </c>
      <c r="M29" s="8">
        <v>4</v>
      </c>
    </row>
    <row r="30" spans="1:13">
      <c r="A30" s="1" t="s">
        <v>116</v>
      </c>
      <c r="B30" s="1">
        <v>2</v>
      </c>
      <c r="C30" s="1" t="s">
        <v>31</v>
      </c>
      <c r="D30" s="2">
        <v>180</v>
      </c>
      <c r="E30" s="2">
        <v>174</v>
      </c>
      <c r="F30" s="5">
        <v>53.703703703703702</v>
      </c>
      <c r="G30" s="4">
        <v>70.866141732283467</v>
      </c>
      <c r="H30">
        <v>5</v>
      </c>
      <c r="I30">
        <v>10.9</v>
      </c>
      <c r="J30" t="s">
        <v>76</v>
      </c>
      <c r="K30">
        <v>384</v>
      </c>
      <c r="L30">
        <v>32</v>
      </c>
      <c r="M30" s="8">
        <v>4</v>
      </c>
    </row>
    <row r="31" spans="1:13">
      <c r="A31" s="1" t="s">
        <v>119</v>
      </c>
      <c r="B31" s="1"/>
      <c r="C31" s="1" t="s">
        <v>20</v>
      </c>
      <c r="D31" s="2">
        <v>178</v>
      </c>
      <c r="E31" s="2">
        <v>176</v>
      </c>
      <c r="F31" s="5">
        <v>55.548541850776424</v>
      </c>
      <c r="G31" s="4">
        <v>70.078740157480311</v>
      </c>
      <c r="H31">
        <v>5</v>
      </c>
      <c r="I31">
        <v>10.1</v>
      </c>
      <c r="J31" t="s">
        <v>78</v>
      </c>
      <c r="K31">
        <v>388</v>
      </c>
      <c r="L31">
        <v>35</v>
      </c>
      <c r="M31" s="8">
        <v>4</v>
      </c>
    </row>
    <row r="32" spans="1:13">
      <c r="A32" s="1" t="s">
        <v>123</v>
      </c>
      <c r="B32" s="1">
        <v>2</v>
      </c>
      <c r="C32" s="1" t="s">
        <v>39</v>
      </c>
      <c r="D32" s="2">
        <v>175</v>
      </c>
      <c r="E32" s="2">
        <v>163</v>
      </c>
      <c r="F32" s="5">
        <v>53.224489795918366</v>
      </c>
      <c r="G32" s="4">
        <v>68.897637795275585</v>
      </c>
      <c r="H32">
        <v>5</v>
      </c>
      <c r="I32">
        <v>8.9</v>
      </c>
      <c r="J32" t="s">
        <v>81</v>
      </c>
      <c r="K32">
        <v>359</v>
      </c>
      <c r="L32">
        <v>39</v>
      </c>
      <c r="M32" s="8">
        <v>4</v>
      </c>
    </row>
    <row r="33" spans="1:13">
      <c r="A33" s="1" t="s">
        <v>89</v>
      </c>
      <c r="B33" s="1"/>
      <c r="C33" s="1" t="s">
        <v>22</v>
      </c>
      <c r="D33" s="2">
        <v>190</v>
      </c>
      <c r="E33" s="2">
        <v>206</v>
      </c>
      <c r="F33" s="5">
        <v>57.063711911357338</v>
      </c>
      <c r="G33" s="4">
        <v>74.803149606299215</v>
      </c>
      <c r="H33">
        <v>6</v>
      </c>
      <c r="I33">
        <v>2.8</v>
      </c>
      <c r="J33" t="s">
        <v>66</v>
      </c>
      <c r="K33">
        <v>454</v>
      </c>
      <c r="L33">
        <v>5</v>
      </c>
      <c r="M33" s="8">
        <v>5</v>
      </c>
    </row>
    <row r="34" spans="1:13">
      <c r="A34" s="1" t="s">
        <v>108</v>
      </c>
      <c r="B34" s="1"/>
      <c r="C34" s="1" t="s">
        <v>38</v>
      </c>
      <c r="D34" s="2">
        <v>184</v>
      </c>
      <c r="E34" s="2">
        <v>200</v>
      </c>
      <c r="F34" s="5">
        <v>59.073724007561438</v>
      </c>
      <c r="G34" s="4">
        <v>72.440944881889763</v>
      </c>
      <c r="H34">
        <v>6</v>
      </c>
      <c r="I34">
        <v>0.4</v>
      </c>
      <c r="J34" t="s">
        <v>73</v>
      </c>
      <c r="K34">
        <v>441</v>
      </c>
      <c r="L34">
        <v>24</v>
      </c>
      <c r="M34" s="8">
        <v>5</v>
      </c>
    </row>
    <row r="35" spans="1:13">
      <c r="A35" s="1" t="s">
        <v>90</v>
      </c>
      <c r="B35" s="1"/>
      <c r="C35" s="1" t="s">
        <v>23</v>
      </c>
      <c r="D35" s="2">
        <v>190</v>
      </c>
      <c r="E35" s="2">
        <v>158</v>
      </c>
      <c r="F35" s="5">
        <v>43.767313019390578</v>
      </c>
      <c r="G35" s="4">
        <v>74.803149606299215</v>
      </c>
      <c r="H35">
        <v>6</v>
      </c>
      <c r="I35">
        <v>2.8</v>
      </c>
      <c r="J35" t="s">
        <v>66</v>
      </c>
      <c r="K35">
        <v>348</v>
      </c>
      <c r="L35">
        <v>6</v>
      </c>
      <c r="M35" s="8">
        <v>6</v>
      </c>
    </row>
    <row r="36" spans="1:13">
      <c r="A36" s="1" t="s">
        <v>93</v>
      </c>
      <c r="B36" s="1"/>
      <c r="C36" s="1" t="s">
        <v>25</v>
      </c>
      <c r="D36" s="2">
        <v>188</v>
      </c>
      <c r="E36" s="2">
        <v>154</v>
      </c>
      <c r="F36" s="5">
        <v>43.571751923947488</v>
      </c>
      <c r="G36" s="4">
        <v>74.015748031496059</v>
      </c>
      <c r="H36">
        <v>6</v>
      </c>
      <c r="I36">
        <v>2</v>
      </c>
      <c r="J36" t="s">
        <v>68</v>
      </c>
      <c r="K36">
        <v>340</v>
      </c>
      <c r="L36">
        <v>9</v>
      </c>
      <c r="M36" s="8">
        <v>6</v>
      </c>
    </row>
    <row r="37" spans="1:13">
      <c r="A37" s="1" t="s">
        <v>97</v>
      </c>
      <c r="B37" s="1"/>
      <c r="C37" s="1" t="s">
        <v>28</v>
      </c>
      <c r="D37" s="2">
        <v>187</v>
      </c>
      <c r="E37" s="2">
        <v>155</v>
      </c>
      <c r="F37" s="5">
        <v>44.324973547999662</v>
      </c>
      <c r="G37" s="4">
        <v>73.622047244094489</v>
      </c>
      <c r="H37">
        <v>6</v>
      </c>
      <c r="I37">
        <v>1.6</v>
      </c>
      <c r="J37" t="s">
        <v>69</v>
      </c>
      <c r="K37">
        <v>342</v>
      </c>
      <c r="L37">
        <v>13</v>
      </c>
      <c r="M37" s="8">
        <v>6</v>
      </c>
    </row>
    <row r="38" spans="1:13">
      <c r="A38" s="1" t="s">
        <v>98</v>
      </c>
      <c r="B38" s="1"/>
      <c r="C38" s="1" t="s">
        <v>29</v>
      </c>
      <c r="D38" s="2">
        <v>187</v>
      </c>
      <c r="E38" s="2">
        <v>145</v>
      </c>
      <c r="F38" s="5">
        <v>41.465297835225485</v>
      </c>
      <c r="G38" s="4">
        <v>73.622047244094489</v>
      </c>
      <c r="H38">
        <v>6</v>
      </c>
      <c r="I38">
        <v>1.6</v>
      </c>
      <c r="J38" t="s">
        <v>69</v>
      </c>
      <c r="K38">
        <v>320</v>
      </c>
      <c r="L38">
        <v>14</v>
      </c>
      <c r="M38" s="8">
        <v>6</v>
      </c>
    </row>
    <row r="39" spans="1:13">
      <c r="A39" s="1" t="s">
        <v>99</v>
      </c>
      <c r="B39" s="1"/>
      <c r="C39" s="1" t="s">
        <v>30</v>
      </c>
      <c r="D39" s="2">
        <v>183</v>
      </c>
      <c r="E39" s="2">
        <v>148</v>
      </c>
      <c r="F39" s="5">
        <v>44.193615814147932</v>
      </c>
      <c r="G39" s="4">
        <v>72.047244094488192</v>
      </c>
      <c r="H39">
        <v>6</v>
      </c>
      <c r="I39">
        <v>0</v>
      </c>
      <c r="J39" t="s">
        <v>70</v>
      </c>
      <c r="K39">
        <v>326</v>
      </c>
      <c r="L39">
        <v>15</v>
      </c>
      <c r="M39" s="8">
        <v>6</v>
      </c>
    </row>
    <row r="40" spans="1:13">
      <c r="A40" s="1" t="s">
        <v>115</v>
      </c>
      <c r="B40" s="1"/>
      <c r="C40" s="1" t="s">
        <v>45</v>
      </c>
      <c r="D40" s="2">
        <v>181</v>
      </c>
      <c r="E40" s="2">
        <v>146</v>
      </c>
      <c r="F40" s="5">
        <v>44.565184212936117</v>
      </c>
      <c r="G40" s="4">
        <v>71.259842519685037</v>
      </c>
      <c r="H40">
        <v>5</v>
      </c>
      <c r="I40">
        <v>11.3</v>
      </c>
      <c r="J40" t="s">
        <v>75</v>
      </c>
      <c r="K40">
        <v>322</v>
      </c>
      <c r="L40">
        <v>31</v>
      </c>
      <c r="M40" s="8">
        <v>6</v>
      </c>
    </row>
    <row r="41" spans="1:13">
      <c r="A41" s="1" t="s">
        <v>117</v>
      </c>
      <c r="C41" s="1" t="s">
        <v>42</v>
      </c>
      <c r="D41" s="2">
        <v>180</v>
      </c>
      <c r="E41" s="2">
        <v>148</v>
      </c>
      <c r="F41" s="5">
        <v>45.67901234567902</v>
      </c>
      <c r="G41" s="4">
        <v>70.866141732283467</v>
      </c>
      <c r="H41">
        <v>5</v>
      </c>
      <c r="I41">
        <v>10.9</v>
      </c>
      <c r="J41" t="s">
        <v>76</v>
      </c>
      <c r="K41">
        <v>326</v>
      </c>
      <c r="L41">
        <v>33</v>
      </c>
      <c r="M41" s="8">
        <v>6</v>
      </c>
    </row>
    <row r="42" spans="1:13">
      <c r="A42" s="1" t="s">
        <v>118</v>
      </c>
      <c r="B42" s="1"/>
      <c r="C42" s="1" t="s">
        <v>46</v>
      </c>
      <c r="D42" s="2">
        <v>179</v>
      </c>
      <c r="E42" s="2">
        <v>152</v>
      </c>
      <c r="F42" s="5">
        <v>47.439218501295215</v>
      </c>
      <c r="G42" s="4">
        <v>70.472440944881896</v>
      </c>
      <c r="H42">
        <v>5</v>
      </c>
      <c r="I42">
        <v>10.5</v>
      </c>
      <c r="J42" t="s">
        <v>77</v>
      </c>
      <c r="K42">
        <v>335</v>
      </c>
      <c r="L42">
        <v>34</v>
      </c>
      <c r="M42" s="8">
        <v>6</v>
      </c>
    </row>
    <row r="43" spans="1:13">
      <c r="A43" s="1" t="s">
        <v>120</v>
      </c>
      <c r="B43" s="1"/>
      <c r="C43" s="1" t="s">
        <v>47</v>
      </c>
      <c r="D43" s="2">
        <v>177</v>
      </c>
      <c r="E43" s="2">
        <v>159</v>
      </c>
      <c r="F43" s="5">
        <v>50.751699703150436</v>
      </c>
      <c r="G43" s="4">
        <v>69.685039370078741</v>
      </c>
      <c r="H43">
        <v>5</v>
      </c>
      <c r="I43">
        <v>9.6999999999999993</v>
      </c>
      <c r="J43" t="s">
        <v>79</v>
      </c>
      <c r="K43">
        <v>351</v>
      </c>
      <c r="L43">
        <v>36</v>
      </c>
      <c r="M43" s="8">
        <v>6</v>
      </c>
    </row>
    <row r="44" spans="1:13">
      <c r="A44" s="1" t="s">
        <v>121</v>
      </c>
      <c r="B44" s="1"/>
      <c r="C44" s="1" t="s">
        <v>48</v>
      </c>
      <c r="D44" s="2">
        <v>176</v>
      </c>
      <c r="E44" s="2">
        <v>147</v>
      </c>
      <c r="F44" s="5">
        <v>47.456095041322314</v>
      </c>
      <c r="G44" s="4">
        <v>69.29133858267717</v>
      </c>
      <c r="H44">
        <v>5</v>
      </c>
      <c r="I44">
        <v>9.3000000000000007</v>
      </c>
      <c r="J44" t="s">
        <v>80</v>
      </c>
      <c r="K44">
        <v>324</v>
      </c>
      <c r="L44">
        <v>37</v>
      </c>
      <c r="M44" s="9">
        <v>6</v>
      </c>
    </row>
  </sheetData>
  <sortState xmlns:xlrd2="http://schemas.microsoft.com/office/spreadsheetml/2017/richdata2" ref="A3:M44">
    <sortCondition ref="M3:M44"/>
  </sortStat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AC1AF-4C19-4A9E-AB65-D727E22ED583}">
  <sheetPr codeName="Sheet8"/>
  <dimension ref="A1"/>
  <sheetViews>
    <sheetView zoomScale="85" zoomScaleNormal="85" workbookViewId="0">
      <selection sqref="A1:E1048576"/>
    </sheetView>
  </sheetViews>
  <sheetFormatPr defaultRowHeight="14.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8B3E5-F73A-4522-A23E-9F2B4CD54AC9}">
  <dimension ref="A1:AC57"/>
  <sheetViews>
    <sheetView zoomScaleNormal="100" workbookViewId="0">
      <pane xSplit="1" ySplit="3" topLeftCell="G24" activePane="bottomRight" state="frozen"/>
      <selection pane="topRight" activeCell="B1" sqref="B1"/>
      <selection pane="bottomLeft" activeCell="A4" sqref="A4"/>
      <selection pane="bottomRight" activeCell="K38" sqref="K38"/>
    </sheetView>
  </sheetViews>
  <sheetFormatPr defaultRowHeight="14.5" outlineLevelCol="1"/>
  <cols>
    <col min="1" max="1" width="21.1796875" customWidth="1"/>
    <col min="2" max="6" width="21.1796875" hidden="1" customWidth="1" outlineLevel="1"/>
    <col min="7" max="7" width="21.1796875" customWidth="1" collapsed="1"/>
    <col min="8" max="10" width="21.1796875" customWidth="1"/>
    <col min="13" max="13" width="11.26953125" bestFit="1" customWidth="1"/>
    <col min="14" max="14" width="8.7265625" style="4"/>
    <col min="21" max="21" width="9.54296875" customWidth="1"/>
    <col min="25" max="25" width="17.81640625" customWidth="1"/>
  </cols>
  <sheetData>
    <row r="1" spans="1:29">
      <c r="C1" t="s">
        <v>174</v>
      </c>
      <c r="K1" t="s">
        <v>234</v>
      </c>
    </row>
    <row r="2" spans="1:29">
      <c r="C2" s="17" t="s">
        <v>162</v>
      </c>
      <c r="D2" s="17"/>
      <c r="E2" s="17"/>
      <c r="F2" s="17"/>
      <c r="G2" s="17"/>
      <c r="H2" s="17"/>
      <c r="S2" t="e">
        <f>MAX(S4:S45)</f>
        <v>#N/A</v>
      </c>
      <c r="T2" t="e">
        <f>MAX(T4:T45)</f>
        <v>#N/A</v>
      </c>
      <c r="U2" t="e">
        <f>MAX(U4:U45)</f>
        <v>#N/A</v>
      </c>
    </row>
    <row r="3" spans="1:29">
      <c r="A3" t="s">
        <v>3</v>
      </c>
      <c r="B3" t="s">
        <v>11</v>
      </c>
      <c r="C3" t="s">
        <v>131</v>
      </c>
      <c r="D3" t="s">
        <v>163</v>
      </c>
      <c r="E3" t="s">
        <v>175</v>
      </c>
      <c r="F3" t="s">
        <v>185</v>
      </c>
      <c r="G3" t="s">
        <v>230</v>
      </c>
      <c r="H3" t="s">
        <v>237</v>
      </c>
      <c r="I3" t="s">
        <v>177</v>
      </c>
      <c r="J3" t="s">
        <v>238</v>
      </c>
      <c r="K3" t="s">
        <v>5</v>
      </c>
      <c r="L3" t="s">
        <v>4</v>
      </c>
      <c r="M3" t="s">
        <v>26</v>
      </c>
      <c r="N3" s="4" t="s">
        <v>6</v>
      </c>
      <c r="O3" t="s">
        <v>7</v>
      </c>
      <c r="P3" t="s">
        <v>8</v>
      </c>
      <c r="Q3" t="s">
        <v>9</v>
      </c>
      <c r="R3" t="s">
        <v>10</v>
      </c>
      <c r="S3" t="s">
        <v>171</v>
      </c>
      <c r="T3" t="s">
        <v>172</v>
      </c>
      <c r="U3" t="s">
        <v>173</v>
      </c>
      <c r="V3" t="s">
        <v>216</v>
      </c>
      <c r="W3" s="14" t="s">
        <v>182</v>
      </c>
      <c r="X3" t="s">
        <v>217</v>
      </c>
      <c r="Y3" t="s">
        <v>219</v>
      </c>
      <c r="AA3">
        <f>SUM(AA4:AA10)</f>
        <v>33</v>
      </c>
      <c r="AB3">
        <f>AA3-AA5</f>
        <v>18</v>
      </c>
      <c r="AC3">
        <f>AB3/AA3</f>
        <v>0.54545454545454541</v>
      </c>
    </row>
    <row r="4" spans="1:29">
      <c r="A4" s="1" t="s">
        <v>86</v>
      </c>
      <c r="B4" s="1">
        <v>8</v>
      </c>
      <c r="C4" s="1" t="s">
        <v>14</v>
      </c>
      <c r="D4" s="1" t="s">
        <v>14</v>
      </c>
      <c r="E4" s="1" t="s">
        <v>14</v>
      </c>
      <c r="F4" s="1" t="s">
        <v>14</v>
      </c>
      <c r="G4" s="1" t="s">
        <v>14</v>
      </c>
      <c r="H4" s="1" t="s">
        <v>14</v>
      </c>
      <c r="I4" s="1">
        <f>_xlfn.XLOOKUP(H4,'rank lookup'!$A$1:$A$21,'rank lookup'!$B$1:$B$21,,0)</f>
        <v>1</v>
      </c>
      <c r="J4" s="1"/>
      <c r="K4" s="25">
        <v>192</v>
      </c>
      <c r="L4" s="25">
        <v>174</v>
      </c>
      <c r="M4" s="5">
        <f t="shared" ref="M4:M36" si="0">L4/(K4*K4)*10000</f>
        <v>47.200520833333329</v>
      </c>
      <c r="N4" s="4">
        <f t="shared" ref="N4:N36" si="1">CONVERT(K4,"cm","in")</f>
        <v>75.59055118110237</v>
      </c>
      <c r="O4">
        <f t="shared" ref="O4:O36" si="2">_xlfn.FLOOR.MATH(N4/12)</f>
        <v>6</v>
      </c>
      <c r="P4">
        <f t="shared" ref="P4:P36" si="3">ROUND(N4-O4*12,1)</f>
        <v>3.6</v>
      </c>
      <c r="Q4" t="str">
        <f t="shared" ref="Q4:Q36" si="4">O4&amp;"' "&amp;P4&amp;""""</f>
        <v>6' 3.6"</v>
      </c>
      <c r="R4">
        <f t="shared" ref="R4:R36" si="5">ROUND(CONVERT(L4,"kg","lbm"),0)</f>
        <v>384</v>
      </c>
      <c r="S4">
        <f>_xlfn.RANK.EQ(K4,K$4:K$45)</f>
        <v>2</v>
      </c>
      <c r="T4">
        <f>_xlfn.RANK.EQ(L4,L$4:L$45)</f>
        <v>10</v>
      </c>
      <c r="U4">
        <f>_xlfn.RANK.EQ(M4,M$4:M$45)</f>
        <v>19</v>
      </c>
      <c r="V4">
        <f>_xlfn.XLOOKUP(A4,'January 2023 Data'!$A$4:$A$49,'January 2023 Data'!$H$4:$H$49,,0)</f>
        <v>192</v>
      </c>
      <c r="W4">
        <f>K4-V4</f>
        <v>0</v>
      </c>
      <c r="X4" t="s">
        <v>218</v>
      </c>
      <c r="Y4" t="str">
        <f>A4&amp;", "&amp;X4</f>
        <v>Terunofuji, OUT</v>
      </c>
      <c r="Z4" cm="1">
        <f t="array" ref="Z4:Z10">_xlfn.SEQUENCE(7,1,-1)</f>
        <v>-1</v>
      </c>
      <c r="AA4">
        <f>COUNTIF(W$4:W$45,Z4)</f>
        <v>6</v>
      </c>
    </row>
    <row r="5" spans="1:29">
      <c r="A5" s="1" t="s">
        <v>123</v>
      </c>
      <c r="B5" s="1">
        <v>2</v>
      </c>
      <c r="C5" s="1" t="s">
        <v>39</v>
      </c>
      <c r="D5" s="1" t="s">
        <v>39</v>
      </c>
      <c r="E5" s="1" t="s">
        <v>39</v>
      </c>
      <c r="F5" s="1" t="s">
        <v>39</v>
      </c>
      <c r="G5" s="1" t="s">
        <v>39</v>
      </c>
      <c r="H5" s="1" t="s">
        <v>39</v>
      </c>
      <c r="I5" s="1">
        <f>_xlfn.XLOOKUP(H5,'rank lookup'!$A$1:$A$21,'rank lookup'!$B$1:$B$21,,0)</f>
        <v>2</v>
      </c>
      <c r="J5" s="1"/>
      <c r="K5" s="23">
        <v>175</v>
      </c>
      <c r="L5" s="23">
        <v>165</v>
      </c>
      <c r="M5" s="5">
        <f t="shared" si="0"/>
        <v>53.877551020408163</v>
      </c>
      <c r="N5" s="4">
        <f t="shared" si="1"/>
        <v>68.897637795275585</v>
      </c>
      <c r="O5">
        <f t="shared" si="2"/>
        <v>5</v>
      </c>
      <c r="P5">
        <f t="shared" si="3"/>
        <v>8.9</v>
      </c>
      <c r="Q5" t="str">
        <f t="shared" si="4"/>
        <v>5' 8.9"</v>
      </c>
      <c r="R5">
        <f t="shared" si="5"/>
        <v>364</v>
      </c>
      <c r="S5">
        <f t="shared" ref="S5:U45" si="6">_xlfn.RANK.EQ(K5,K$4:K$45)</f>
        <v>35</v>
      </c>
      <c r="T5">
        <f t="shared" si="6"/>
        <v>17</v>
      </c>
      <c r="U5">
        <f t="shared" si="6"/>
        <v>4</v>
      </c>
      <c r="V5">
        <f>_xlfn.XLOOKUP(A5,'January 2023 Data'!$A$4:$A$49,'January 2023 Data'!$H$4:$H$49,,0)</f>
        <v>175</v>
      </c>
      <c r="W5">
        <f t="shared" ref="W5:W53" si="7">K5-V5</f>
        <v>0</v>
      </c>
      <c r="X5" t="s">
        <v>218</v>
      </c>
      <c r="Y5" t="str">
        <f t="shared" ref="Y5:Y57" si="8">A5&amp;", "&amp;X5</f>
        <v>Takakeisho, OUT</v>
      </c>
      <c r="Z5">
        <v>0</v>
      </c>
      <c r="AA5">
        <f t="shared" ref="AA5:AA10" si="9">COUNTIF(W$4:W$45,Z5)</f>
        <v>15</v>
      </c>
    </row>
    <row r="6" spans="1:29" ht="25">
      <c r="A6" s="1" t="s">
        <v>239</v>
      </c>
      <c r="B6" s="1"/>
      <c r="C6" s="1" t="s">
        <v>42</v>
      </c>
      <c r="D6" s="1" t="s">
        <v>42</v>
      </c>
      <c r="E6" s="1" t="s">
        <v>42</v>
      </c>
      <c r="F6" s="1" t="s">
        <v>31</v>
      </c>
      <c r="G6" s="1" t="s">
        <v>31</v>
      </c>
      <c r="H6" s="1" t="s">
        <v>39</v>
      </c>
      <c r="I6" s="1">
        <f>_xlfn.XLOOKUP(H6,'rank lookup'!$A$1:$A$21,'rank lookup'!$B$1:$B$21,,0)</f>
        <v>2</v>
      </c>
      <c r="J6" s="1" t="s">
        <v>240</v>
      </c>
      <c r="K6" s="23">
        <v>186</v>
      </c>
      <c r="L6" s="23">
        <v>143</v>
      </c>
      <c r="M6" s="5">
        <f t="shared" si="0"/>
        <v>41.334258295756733</v>
      </c>
      <c r="N6" s="4">
        <f t="shared" si="1"/>
        <v>73.228346456692918</v>
      </c>
      <c r="O6">
        <f t="shared" si="2"/>
        <v>6</v>
      </c>
      <c r="P6">
        <f t="shared" si="3"/>
        <v>1.2</v>
      </c>
      <c r="Q6" t="str">
        <f t="shared" si="4"/>
        <v>6' 1.2"</v>
      </c>
      <c r="R6">
        <f t="shared" si="5"/>
        <v>315</v>
      </c>
      <c r="S6">
        <f t="shared" si="6"/>
        <v>15</v>
      </c>
      <c r="T6">
        <f t="shared" si="6"/>
        <v>30</v>
      </c>
      <c r="U6">
        <f t="shared" si="6"/>
        <v>35</v>
      </c>
      <c r="V6" t="e">
        <f>_xlfn.XLOOKUP(A6,'January 2023 Data'!$A$4:$A$49,'January 2023 Data'!$H$4:$H$49,,0)</f>
        <v>#N/A</v>
      </c>
      <c r="W6" t="e">
        <f t="shared" si="7"/>
        <v>#N/A</v>
      </c>
      <c r="X6" s="21" t="s">
        <v>220</v>
      </c>
      <c r="Y6" t="str">
        <f t="shared" si="8"/>
        <v>Kirishima, 7-6</v>
      </c>
      <c r="Z6">
        <v>1</v>
      </c>
      <c r="AA6">
        <f t="shared" si="9"/>
        <v>9</v>
      </c>
    </row>
    <row r="7" spans="1:29">
      <c r="A7" s="1" t="s">
        <v>95</v>
      </c>
      <c r="B7" s="1"/>
      <c r="C7" s="1" t="s">
        <v>31</v>
      </c>
      <c r="D7" s="1" t="s">
        <v>31</v>
      </c>
      <c r="E7" s="1" t="s">
        <v>31</v>
      </c>
      <c r="F7" s="1" t="s">
        <v>31</v>
      </c>
      <c r="G7" s="1" t="s">
        <v>31</v>
      </c>
      <c r="H7" s="1" t="s">
        <v>31</v>
      </c>
      <c r="I7" s="1">
        <f>_xlfn.XLOOKUP(H7,'rank lookup'!$A$1:$A$21,'rank lookup'!$B$1:$B$21,,0)</f>
        <v>3</v>
      </c>
      <c r="J7" s="1"/>
      <c r="K7" s="23">
        <v>188</v>
      </c>
      <c r="L7" s="23">
        <v>142</v>
      </c>
      <c r="M7" s="5">
        <f t="shared" si="0"/>
        <v>40.176550475328199</v>
      </c>
      <c r="N7" s="4">
        <f t="shared" si="1"/>
        <v>74.015748031496059</v>
      </c>
      <c r="O7">
        <f t="shared" si="2"/>
        <v>6</v>
      </c>
      <c r="P7">
        <f t="shared" si="3"/>
        <v>2</v>
      </c>
      <c r="Q7" t="str">
        <f t="shared" si="4"/>
        <v>6' 2"</v>
      </c>
      <c r="R7">
        <f t="shared" si="5"/>
        <v>313</v>
      </c>
      <c r="S7">
        <f t="shared" si="6"/>
        <v>10</v>
      </c>
      <c r="T7">
        <f t="shared" si="6"/>
        <v>32</v>
      </c>
      <c r="U7">
        <f t="shared" si="6"/>
        <v>37</v>
      </c>
      <c r="V7">
        <f>_xlfn.XLOOKUP(A7,'January 2023 Data'!$A$4:$A$49,'January 2023 Data'!$H$4:$H$49,,0)</f>
        <v>185</v>
      </c>
      <c r="W7">
        <f t="shared" si="7"/>
        <v>3</v>
      </c>
      <c r="X7" s="22" t="s">
        <v>221</v>
      </c>
      <c r="Y7" t="str">
        <f t="shared" si="8"/>
        <v>Hoshoryu, 9-4</v>
      </c>
      <c r="Z7">
        <v>2</v>
      </c>
      <c r="AA7">
        <f t="shared" si="9"/>
        <v>2</v>
      </c>
    </row>
    <row r="8" spans="1:29">
      <c r="A8" s="1" t="s">
        <v>100</v>
      </c>
      <c r="B8" s="1"/>
      <c r="C8" s="1" t="s">
        <v>141</v>
      </c>
      <c r="D8" s="1" t="s">
        <v>139</v>
      </c>
      <c r="E8" s="1" t="s">
        <v>42</v>
      </c>
      <c r="F8" s="1" t="s">
        <v>42</v>
      </c>
      <c r="G8" s="1" t="s">
        <v>31</v>
      </c>
      <c r="H8" s="1" t="s">
        <v>31</v>
      </c>
      <c r="I8" s="1">
        <f>_xlfn.XLOOKUP(H8,'rank lookup'!$A$1:$A$21,'rank lookup'!$B$1:$B$21,,0)</f>
        <v>3</v>
      </c>
      <c r="J8" s="1"/>
      <c r="K8" s="23">
        <v>187</v>
      </c>
      <c r="L8" s="23">
        <v>147</v>
      </c>
      <c r="M8" s="5">
        <f t="shared" si="0"/>
        <v>42.03723297778032</v>
      </c>
      <c r="N8" s="4">
        <f t="shared" si="1"/>
        <v>73.622047244094489</v>
      </c>
      <c r="O8">
        <f t="shared" si="2"/>
        <v>6</v>
      </c>
      <c r="P8">
        <f t="shared" si="3"/>
        <v>1.6</v>
      </c>
      <c r="Q8" t="str">
        <f t="shared" si="4"/>
        <v>6' 1.6"</v>
      </c>
      <c r="R8">
        <f t="shared" si="5"/>
        <v>324</v>
      </c>
      <c r="S8">
        <f t="shared" si="6"/>
        <v>14</v>
      </c>
      <c r="T8">
        <f t="shared" si="6"/>
        <v>29</v>
      </c>
      <c r="U8">
        <f t="shared" si="6"/>
        <v>34</v>
      </c>
      <c r="V8">
        <f>_xlfn.XLOOKUP(A8,'January 2023 Data'!$A$4:$A$49,'January 2023 Data'!$H$4:$H$49,,0)</f>
        <v>186</v>
      </c>
      <c r="W8">
        <f t="shared" si="7"/>
        <v>1</v>
      </c>
      <c r="X8" s="22" t="s">
        <v>222</v>
      </c>
      <c r="Y8" t="str">
        <f t="shared" si="8"/>
        <v>Wakamotoharu, 10-3</v>
      </c>
      <c r="Z8">
        <v>3</v>
      </c>
      <c r="AA8">
        <f t="shared" si="9"/>
        <v>1</v>
      </c>
    </row>
    <row r="9" spans="1:29">
      <c r="A9" s="1" t="s">
        <v>112</v>
      </c>
      <c r="B9" s="1">
        <v>1</v>
      </c>
      <c r="C9" s="1" t="s">
        <v>31</v>
      </c>
      <c r="D9" s="1" t="s">
        <v>42</v>
      </c>
      <c r="E9" s="1" t="s">
        <v>132</v>
      </c>
      <c r="F9" s="1" t="s">
        <v>42</v>
      </c>
      <c r="G9" s="1" t="s">
        <v>31</v>
      </c>
      <c r="H9" s="1" t="s">
        <v>31</v>
      </c>
      <c r="I9" s="1">
        <f>_xlfn.XLOOKUP(H9,'rank lookup'!$A$1:$A$21,'rank lookup'!$B$1:$B$21,,0)</f>
        <v>3</v>
      </c>
      <c r="J9" s="1"/>
      <c r="K9" s="23">
        <v>182</v>
      </c>
      <c r="L9" s="23">
        <v>164</v>
      </c>
      <c r="M9" s="5">
        <f t="shared" si="0"/>
        <v>49.510928631807751</v>
      </c>
      <c r="N9" s="4">
        <f t="shared" si="1"/>
        <v>71.653543307086608</v>
      </c>
      <c r="O9">
        <f t="shared" si="2"/>
        <v>5</v>
      </c>
      <c r="P9">
        <f t="shared" si="3"/>
        <v>11.7</v>
      </c>
      <c r="Q9" t="str">
        <f t="shared" si="4"/>
        <v>5' 11.7"</v>
      </c>
      <c r="R9">
        <f t="shared" si="5"/>
        <v>362</v>
      </c>
      <c r="S9">
        <f t="shared" si="6"/>
        <v>27</v>
      </c>
      <c r="T9">
        <f t="shared" si="6"/>
        <v>19</v>
      </c>
      <c r="U9">
        <f t="shared" si="6"/>
        <v>12</v>
      </c>
      <c r="V9">
        <f>_xlfn.XLOOKUP(A9,'January 2023 Data'!$A$4:$A$49,'January 2023 Data'!$H$4:$H$49,,0)</f>
        <v>182</v>
      </c>
      <c r="W9">
        <f t="shared" si="7"/>
        <v>0</v>
      </c>
      <c r="X9" s="22" t="s">
        <v>221</v>
      </c>
      <c r="Y9" t="str">
        <f t="shared" si="8"/>
        <v>Daieisho, 9-4</v>
      </c>
      <c r="Z9">
        <v>4</v>
      </c>
      <c r="AA9">
        <f t="shared" si="9"/>
        <v>0</v>
      </c>
    </row>
    <row r="10" spans="1:29">
      <c r="A10" s="1" t="s">
        <v>94</v>
      </c>
      <c r="B10" s="1"/>
      <c r="C10" s="1" t="s">
        <v>136</v>
      </c>
      <c r="D10" s="1" t="s">
        <v>132</v>
      </c>
      <c r="E10" s="1" t="s">
        <v>42</v>
      </c>
      <c r="F10" s="1" t="s">
        <v>42</v>
      </c>
      <c r="G10" s="1" t="s">
        <v>42</v>
      </c>
      <c r="H10" s="1" t="s">
        <v>42</v>
      </c>
      <c r="I10" s="1">
        <f>_xlfn.XLOOKUP(H10,'rank lookup'!$A$1:$A$21,'rank lookup'!$B$1:$B$21,,0)</f>
        <v>4</v>
      </c>
      <c r="J10" s="1"/>
      <c r="K10" s="23">
        <v>189</v>
      </c>
      <c r="L10" s="23">
        <v>176</v>
      </c>
      <c r="M10" s="5">
        <f t="shared" si="0"/>
        <v>49.270737101424935</v>
      </c>
      <c r="N10" s="4">
        <f t="shared" si="1"/>
        <v>74.409448818897644</v>
      </c>
      <c r="O10">
        <f t="shared" si="2"/>
        <v>6</v>
      </c>
      <c r="P10">
        <f t="shared" si="3"/>
        <v>2.4</v>
      </c>
      <c r="Q10" t="str">
        <f t="shared" si="4"/>
        <v>6' 2.4"</v>
      </c>
      <c r="R10">
        <f t="shared" si="5"/>
        <v>388</v>
      </c>
      <c r="S10">
        <f t="shared" si="6"/>
        <v>7</v>
      </c>
      <c r="T10">
        <f t="shared" si="6"/>
        <v>9</v>
      </c>
      <c r="U10">
        <f t="shared" si="6"/>
        <v>14</v>
      </c>
      <c r="V10">
        <f>_xlfn.XLOOKUP(A10,'January 2023 Data'!$A$4:$A$49,'January 2023 Data'!$H$4:$H$49,,0)</f>
        <v>189</v>
      </c>
      <c r="W10">
        <f t="shared" si="7"/>
        <v>0</v>
      </c>
      <c r="X10" s="22" t="s">
        <v>222</v>
      </c>
      <c r="Y10" t="str">
        <f t="shared" si="8"/>
        <v>Kotonowaka, 10-3</v>
      </c>
      <c r="Z10">
        <v>5</v>
      </c>
      <c r="AA10">
        <f t="shared" si="9"/>
        <v>0</v>
      </c>
    </row>
    <row r="11" spans="1:29">
      <c r="A11" s="1" t="s">
        <v>93</v>
      </c>
      <c r="B11" s="1">
        <v>1</v>
      </c>
      <c r="C11" s="1" t="s">
        <v>42</v>
      </c>
      <c r="D11" s="1" t="s">
        <v>143</v>
      </c>
      <c r="E11" s="1" t="s">
        <v>137</v>
      </c>
      <c r="F11" s="1" t="s">
        <v>136</v>
      </c>
      <c r="G11" s="1" t="s">
        <v>132</v>
      </c>
      <c r="H11" s="1" t="s">
        <v>42</v>
      </c>
      <c r="I11" s="1">
        <f>_xlfn.XLOOKUP(H11,'rank lookup'!$A$1:$A$21,'rank lookup'!$B$1:$B$21,,0)</f>
        <v>4</v>
      </c>
      <c r="J11" s="1"/>
      <c r="K11" s="23">
        <v>186</v>
      </c>
      <c r="L11" s="23">
        <v>158</v>
      </c>
      <c r="M11" s="5">
        <f t="shared" si="0"/>
        <v>45.670019655451505</v>
      </c>
      <c r="N11" s="4">
        <f t="shared" si="1"/>
        <v>73.228346456692918</v>
      </c>
      <c r="O11">
        <f t="shared" si="2"/>
        <v>6</v>
      </c>
      <c r="P11">
        <f t="shared" si="3"/>
        <v>1.2</v>
      </c>
      <c r="Q11" t="str">
        <f t="shared" si="4"/>
        <v>6' 1.2"</v>
      </c>
      <c r="R11">
        <f t="shared" si="5"/>
        <v>348</v>
      </c>
      <c r="S11">
        <f t="shared" si="6"/>
        <v>15</v>
      </c>
      <c r="T11">
        <f t="shared" si="6"/>
        <v>22</v>
      </c>
      <c r="U11">
        <f t="shared" si="6"/>
        <v>23</v>
      </c>
      <c r="V11">
        <f>_xlfn.XLOOKUP(A11,'January 2023 Data'!$A$4:$A$49,'January 2023 Data'!$H$4:$H$49,,0)</f>
        <v>187</v>
      </c>
      <c r="W11">
        <f t="shared" si="7"/>
        <v>-1</v>
      </c>
      <c r="X11" s="22" t="s">
        <v>223</v>
      </c>
      <c r="Y11" t="str">
        <f t="shared" si="8"/>
        <v>Abi, 11-2</v>
      </c>
    </row>
    <row r="12" spans="1:29">
      <c r="A12" s="1" t="s">
        <v>124</v>
      </c>
      <c r="B12" s="1"/>
      <c r="C12" s="1" t="s">
        <v>132</v>
      </c>
      <c r="D12" s="1" t="s">
        <v>42</v>
      </c>
      <c r="E12" s="1" t="s">
        <v>132</v>
      </c>
      <c r="F12" s="1" t="s">
        <v>42</v>
      </c>
      <c r="G12" s="1" t="s">
        <v>137</v>
      </c>
      <c r="H12" s="1" t="s">
        <v>132</v>
      </c>
      <c r="I12" s="1">
        <f>_xlfn.XLOOKUP(H12,'rank lookup'!$A$1:$A$21,'rank lookup'!$B$1:$B$21,,0)</f>
        <v>5</v>
      </c>
      <c r="J12" s="1"/>
      <c r="K12" s="23">
        <v>174</v>
      </c>
      <c r="L12" s="23">
        <v>135</v>
      </c>
      <c r="M12" s="5">
        <f t="shared" si="0"/>
        <v>44.589774078478001</v>
      </c>
      <c r="N12" s="4">
        <f t="shared" si="1"/>
        <v>68.503937007874015</v>
      </c>
      <c r="O12">
        <f t="shared" si="2"/>
        <v>5</v>
      </c>
      <c r="P12">
        <f t="shared" si="3"/>
        <v>8.5</v>
      </c>
      <c r="Q12" t="str">
        <f t="shared" si="4"/>
        <v>5' 8.5"</v>
      </c>
      <c r="R12">
        <f t="shared" si="5"/>
        <v>298</v>
      </c>
      <c r="S12">
        <f t="shared" si="6"/>
        <v>37</v>
      </c>
      <c r="T12">
        <f t="shared" si="6"/>
        <v>35</v>
      </c>
      <c r="U12">
        <f t="shared" si="6"/>
        <v>24</v>
      </c>
      <c r="V12">
        <f>_xlfn.XLOOKUP(A12,'January 2023 Data'!$A$4:$A$49,'January 2023 Data'!$H$4:$H$49,,0)</f>
        <v>174</v>
      </c>
      <c r="W12">
        <f t="shared" si="7"/>
        <v>0</v>
      </c>
      <c r="X12" s="22" t="s">
        <v>224</v>
      </c>
      <c r="Y12" t="str">
        <f t="shared" si="8"/>
        <v>Tobizaru, 4-9</v>
      </c>
    </row>
    <row r="13" spans="1:29">
      <c r="A13" s="1" t="s">
        <v>138</v>
      </c>
      <c r="C13" s="1" t="s">
        <v>139</v>
      </c>
      <c r="D13" s="1" t="s">
        <v>141</v>
      </c>
      <c r="E13" s="1" t="s">
        <v>140</v>
      </c>
      <c r="F13" s="1" t="s">
        <v>137</v>
      </c>
      <c r="G13" s="1" t="s">
        <v>139</v>
      </c>
      <c r="H13" s="1" t="s">
        <v>132</v>
      </c>
      <c r="I13" s="1">
        <f>_xlfn.XLOOKUP(H13,'rank lookup'!$A$1:$A$21,'rank lookup'!$B$1:$B$21,,0)</f>
        <v>5</v>
      </c>
      <c r="J13" s="1"/>
      <c r="K13" s="23">
        <v>185</v>
      </c>
      <c r="L13" s="23">
        <v>180</v>
      </c>
      <c r="M13" s="5">
        <f t="shared" si="0"/>
        <v>52.593133674214762</v>
      </c>
      <c r="N13" s="4">
        <f t="shared" si="1"/>
        <v>72.834645669291348</v>
      </c>
      <c r="O13">
        <f t="shared" si="2"/>
        <v>6</v>
      </c>
      <c r="P13">
        <f t="shared" si="3"/>
        <v>0.8</v>
      </c>
      <c r="Q13" t="str">
        <f t="shared" si="4"/>
        <v>6' 0.8"</v>
      </c>
      <c r="R13">
        <f t="shared" si="5"/>
        <v>397</v>
      </c>
      <c r="S13">
        <f t="shared" si="6"/>
        <v>18</v>
      </c>
      <c r="T13">
        <f t="shared" si="6"/>
        <v>7</v>
      </c>
      <c r="U13">
        <f t="shared" si="6"/>
        <v>7</v>
      </c>
      <c r="V13">
        <f>_xlfn.XLOOKUP(A13,'January 2023 Data'!$A$4:$A$49,'January 2023 Data'!$H$4:$H$49,,0)</f>
        <v>184</v>
      </c>
      <c r="W13">
        <f t="shared" si="7"/>
        <v>1</v>
      </c>
      <c r="X13" s="22" t="s">
        <v>225</v>
      </c>
      <c r="Y13" t="str">
        <f t="shared" si="8"/>
        <v>Nishikigi, 8-5</v>
      </c>
    </row>
    <row r="14" spans="1:29">
      <c r="A14" s="1" t="s">
        <v>109</v>
      </c>
      <c r="B14" s="1">
        <v>1</v>
      </c>
      <c r="C14" s="1" t="s">
        <v>39</v>
      </c>
      <c r="D14" s="1" t="s">
        <v>39</v>
      </c>
      <c r="E14" s="1" t="s">
        <v>31</v>
      </c>
      <c r="F14" s="1" t="s">
        <v>132</v>
      </c>
      <c r="G14" s="1" t="s">
        <v>42</v>
      </c>
      <c r="H14" s="1" t="s">
        <v>136</v>
      </c>
      <c r="I14" s="1">
        <f>_xlfn.XLOOKUP(H14,'rank lookup'!$A$1:$A$21,'rank lookup'!$B$1:$B$21,,0)</f>
        <v>6</v>
      </c>
      <c r="J14" s="1"/>
      <c r="K14" s="23">
        <v>184</v>
      </c>
      <c r="L14" s="23">
        <v>161</v>
      </c>
      <c r="M14" s="5">
        <f t="shared" si="0"/>
        <v>47.554347826086961</v>
      </c>
      <c r="N14" s="4">
        <f t="shared" si="1"/>
        <v>72.440944881889763</v>
      </c>
      <c r="O14">
        <f t="shared" si="2"/>
        <v>6</v>
      </c>
      <c r="P14">
        <f t="shared" si="3"/>
        <v>0.4</v>
      </c>
      <c r="Q14" t="str">
        <f t="shared" si="4"/>
        <v>6' 0.4"</v>
      </c>
      <c r="R14">
        <f t="shared" si="5"/>
        <v>355</v>
      </c>
      <c r="S14">
        <f t="shared" si="6"/>
        <v>21</v>
      </c>
      <c r="T14">
        <f t="shared" si="6"/>
        <v>20</v>
      </c>
      <c r="U14">
        <f t="shared" si="6"/>
        <v>17</v>
      </c>
      <c r="V14">
        <f>_xlfn.XLOOKUP(A14,'January 2023 Data'!$A$4:$A$49,'January 2023 Data'!$H$4:$H$49,,0)</f>
        <v>183</v>
      </c>
      <c r="W14">
        <f t="shared" si="7"/>
        <v>1</v>
      </c>
      <c r="X14" s="22" t="s">
        <v>226</v>
      </c>
      <c r="Y14" t="str">
        <f t="shared" si="8"/>
        <v>Shodai, 3-10</v>
      </c>
    </row>
    <row r="15" spans="1:29">
      <c r="A15" s="1" t="s">
        <v>116</v>
      </c>
      <c r="B15" s="1">
        <v>2</v>
      </c>
      <c r="C15" s="1" t="s">
        <v>39</v>
      </c>
      <c r="D15" s="1" t="s">
        <v>31</v>
      </c>
      <c r="E15" s="1" t="s">
        <v>136</v>
      </c>
      <c r="F15" s="1" t="s">
        <v>137</v>
      </c>
      <c r="G15" s="1" t="s">
        <v>141</v>
      </c>
      <c r="H15" s="1" t="s">
        <v>136</v>
      </c>
      <c r="I15" s="1">
        <f>_xlfn.XLOOKUP(H15,'rank lookup'!$A$1:$A$21,'rank lookup'!$B$1:$B$21,,0)</f>
        <v>6</v>
      </c>
      <c r="J15" s="1"/>
      <c r="K15" s="23">
        <v>179</v>
      </c>
      <c r="L15" s="23">
        <v>170</v>
      </c>
      <c r="M15" s="5">
        <f t="shared" si="0"/>
        <v>53.057020692238069</v>
      </c>
      <c r="N15" s="4">
        <f t="shared" si="1"/>
        <v>70.472440944881896</v>
      </c>
      <c r="O15">
        <f t="shared" si="2"/>
        <v>5</v>
      </c>
      <c r="P15">
        <f t="shared" si="3"/>
        <v>10.5</v>
      </c>
      <c r="Q15" t="str">
        <f t="shared" si="4"/>
        <v>5' 10.5"</v>
      </c>
      <c r="R15">
        <f t="shared" si="5"/>
        <v>375</v>
      </c>
      <c r="S15">
        <f t="shared" si="6"/>
        <v>31</v>
      </c>
      <c r="T15">
        <f t="shared" si="6"/>
        <v>14</v>
      </c>
      <c r="U15">
        <f t="shared" si="6"/>
        <v>5</v>
      </c>
      <c r="V15">
        <f>_xlfn.XLOOKUP(A15,'January 2023 Data'!$A$4:$A$49,'January 2023 Data'!$H$4:$H$49,,0)</f>
        <v>179</v>
      </c>
      <c r="W15">
        <f t="shared" si="7"/>
        <v>0</v>
      </c>
      <c r="X15" s="22" t="s">
        <v>225</v>
      </c>
      <c r="Y15" t="str">
        <f t="shared" si="8"/>
        <v>Mitakeumi, 8-5</v>
      </c>
    </row>
    <row r="16" spans="1:29">
      <c r="A16" s="1" t="s">
        <v>133</v>
      </c>
      <c r="C16" t="s">
        <v>132</v>
      </c>
      <c r="D16" s="1" t="s">
        <v>137</v>
      </c>
      <c r="E16" s="1" t="s">
        <v>137</v>
      </c>
      <c r="F16" s="1" t="s">
        <v>140</v>
      </c>
      <c r="G16" s="1" t="s">
        <v>132</v>
      </c>
      <c r="H16" s="1" t="s">
        <v>137</v>
      </c>
      <c r="I16" s="1">
        <f>_xlfn.XLOOKUP(H16,'rank lookup'!$A$1:$A$21,'rank lookup'!$B$1:$B$21,,0)</f>
        <v>7</v>
      </c>
      <c r="J16" s="1"/>
      <c r="K16" s="23">
        <v>171</v>
      </c>
      <c r="L16" s="23">
        <v>116</v>
      </c>
      <c r="M16" s="5">
        <f t="shared" si="0"/>
        <v>39.670325912246504</v>
      </c>
      <c r="N16" s="4">
        <f t="shared" si="1"/>
        <v>67.322834645669289</v>
      </c>
      <c r="O16">
        <f t="shared" si="2"/>
        <v>5</v>
      </c>
      <c r="P16">
        <f t="shared" si="3"/>
        <v>7.3</v>
      </c>
      <c r="Q16" t="str">
        <f t="shared" si="4"/>
        <v>5' 7.3"</v>
      </c>
      <c r="R16">
        <f t="shared" si="5"/>
        <v>256</v>
      </c>
      <c r="S16">
        <f t="shared" si="6"/>
        <v>38</v>
      </c>
      <c r="T16">
        <f t="shared" si="6"/>
        <v>39</v>
      </c>
      <c r="U16">
        <f t="shared" si="6"/>
        <v>39</v>
      </c>
      <c r="V16">
        <f>_xlfn.XLOOKUP(A16,'January 2023 Data'!$A$4:$A$49,'January 2023 Data'!$H$4:$H$49,,0)</f>
        <v>171</v>
      </c>
      <c r="W16">
        <f t="shared" si="7"/>
        <v>0</v>
      </c>
      <c r="X16" s="22" t="s">
        <v>227</v>
      </c>
      <c r="Y16" t="str">
        <f t="shared" si="8"/>
        <v>Midorifuji, 8-12</v>
      </c>
    </row>
    <row r="17" spans="1:25">
      <c r="A17" s="1" t="s">
        <v>117</v>
      </c>
      <c r="B17" s="1"/>
      <c r="C17" s="1" t="s">
        <v>136</v>
      </c>
      <c r="D17" s="1" t="s">
        <v>136</v>
      </c>
      <c r="E17" s="1" t="s">
        <v>42</v>
      </c>
      <c r="F17" s="1" t="s">
        <v>139</v>
      </c>
      <c r="G17" s="1" t="s">
        <v>141</v>
      </c>
      <c r="H17" s="1" t="s">
        <v>137</v>
      </c>
      <c r="I17" s="1">
        <f>_xlfn.XLOOKUP(H17,'rank lookup'!$A$1:$A$21,'rank lookup'!$B$1:$B$21,,0)</f>
        <v>7</v>
      </c>
      <c r="J17" s="1"/>
      <c r="K17" s="23">
        <v>180</v>
      </c>
      <c r="L17" s="23">
        <v>154</v>
      </c>
      <c r="M17" s="5">
        <f t="shared" si="0"/>
        <v>47.530864197530867</v>
      </c>
      <c r="N17" s="4">
        <f t="shared" si="1"/>
        <v>70.866141732283467</v>
      </c>
      <c r="O17">
        <f t="shared" si="2"/>
        <v>5</v>
      </c>
      <c r="P17">
        <f t="shared" si="3"/>
        <v>10.9</v>
      </c>
      <c r="Q17" t="str">
        <f t="shared" si="4"/>
        <v>5' 10.9"</v>
      </c>
      <c r="R17">
        <f t="shared" si="5"/>
        <v>340</v>
      </c>
      <c r="S17">
        <f t="shared" si="6"/>
        <v>30</v>
      </c>
      <c r="T17">
        <f t="shared" si="6"/>
        <v>26</v>
      </c>
      <c r="U17">
        <f t="shared" si="6"/>
        <v>18</v>
      </c>
      <c r="V17">
        <f>_xlfn.XLOOKUP(A17,'January 2023 Data'!$A$4:$A$49,'January 2023 Data'!$H$4:$H$49,,0)</f>
        <v>180</v>
      </c>
      <c r="W17">
        <f t="shared" si="7"/>
        <v>0</v>
      </c>
      <c r="X17" s="22" t="s">
        <v>224</v>
      </c>
      <c r="Y17" t="str">
        <f t="shared" si="8"/>
        <v>Meisei, 4-9</v>
      </c>
    </row>
    <row r="18" spans="1:25">
      <c r="A18" s="1" t="s">
        <v>121</v>
      </c>
      <c r="B18" s="1"/>
      <c r="C18" s="1" t="s">
        <v>137</v>
      </c>
      <c r="D18" s="1" t="s">
        <v>137</v>
      </c>
      <c r="E18" s="1" t="s">
        <v>135</v>
      </c>
      <c r="F18" s="1" t="s">
        <v>142</v>
      </c>
      <c r="G18" s="1" t="s">
        <v>139</v>
      </c>
      <c r="H18" s="1" t="s">
        <v>139</v>
      </c>
      <c r="I18" s="1">
        <f>_xlfn.XLOOKUP(H18,'rank lookup'!$A$1:$A$21,'rank lookup'!$B$1:$B$21,,0)</f>
        <v>8</v>
      </c>
      <c r="J18" s="1"/>
      <c r="K18" s="23">
        <v>175</v>
      </c>
      <c r="L18" s="23">
        <v>143</v>
      </c>
      <c r="M18" s="5">
        <f t="shared" si="0"/>
        <v>46.693877551020407</v>
      </c>
      <c r="N18" s="4">
        <f t="shared" si="1"/>
        <v>68.897637795275585</v>
      </c>
      <c r="O18">
        <f t="shared" si="2"/>
        <v>5</v>
      </c>
      <c r="P18">
        <f t="shared" si="3"/>
        <v>8.9</v>
      </c>
      <c r="Q18" t="str">
        <f t="shared" si="4"/>
        <v>5' 8.9"</v>
      </c>
      <c r="R18">
        <f t="shared" si="5"/>
        <v>315</v>
      </c>
      <c r="S18">
        <f t="shared" si="6"/>
        <v>35</v>
      </c>
      <c r="T18">
        <f t="shared" si="6"/>
        <v>30</v>
      </c>
      <c r="U18">
        <f t="shared" si="6"/>
        <v>21</v>
      </c>
      <c r="V18">
        <f>_xlfn.XLOOKUP(A18,'January 2023 Data'!$A$4:$A$49,'January 2023 Data'!$H$4:$H$49,,0)</f>
        <v>175</v>
      </c>
      <c r="W18">
        <f t="shared" si="7"/>
        <v>0</v>
      </c>
      <c r="X18" s="22" t="s">
        <v>224</v>
      </c>
      <c r="Y18" t="str">
        <f t="shared" si="8"/>
        <v>Ura, 4-9</v>
      </c>
    </row>
    <row r="19" spans="1:25">
      <c r="A19" s="1" t="s">
        <v>231</v>
      </c>
      <c r="G19" t="s">
        <v>151</v>
      </c>
      <c r="H19" t="s">
        <v>139</v>
      </c>
      <c r="I19" s="1">
        <f>_xlfn.XLOOKUP(H19,'rank lookup'!$A$1:$A$21,'rank lookup'!$B$1:$B$21,,0)</f>
        <v>8</v>
      </c>
      <c r="K19" s="23">
        <v>189</v>
      </c>
      <c r="L19" s="23">
        <v>168</v>
      </c>
      <c r="M19" s="5">
        <f t="shared" si="0"/>
        <v>47.031158142269256</v>
      </c>
      <c r="N19" s="4">
        <f t="shared" si="1"/>
        <v>74.409448818897644</v>
      </c>
      <c r="O19">
        <f t="shared" si="2"/>
        <v>6</v>
      </c>
      <c r="P19">
        <f t="shared" si="3"/>
        <v>2.4</v>
      </c>
      <c r="Q19" t="str">
        <f t="shared" si="4"/>
        <v>6' 2.4"</v>
      </c>
      <c r="R19">
        <f t="shared" si="5"/>
        <v>370</v>
      </c>
      <c r="S19">
        <f t="shared" si="6"/>
        <v>7</v>
      </c>
      <c r="T19">
        <f t="shared" si="6"/>
        <v>16</v>
      </c>
      <c r="U19">
        <f t="shared" si="6"/>
        <v>20</v>
      </c>
      <c r="V19" t="e">
        <f>_xlfn.XLOOKUP(A19,'January 2023 Data'!$A$4:$A$49,'January 2023 Data'!$H$4:$H$49,,0)</f>
        <v>#N/A</v>
      </c>
      <c r="W19" t="e">
        <f t="shared" si="7"/>
        <v>#N/A</v>
      </c>
      <c r="X19" s="22" t="s">
        <v>224</v>
      </c>
      <c r="Y19" t="str">
        <f t="shared" si="8"/>
        <v>Asanoyama, 4-9</v>
      </c>
    </row>
    <row r="20" spans="1:25">
      <c r="A20" s="1" t="s">
        <v>120</v>
      </c>
      <c r="B20" s="1"/>
      <c r="C20" s="1" t="s">
        <v>135</v>
      </c>
      <c r="D20" s="1" t="s">
        <v>147</v>
      </c>
      <c r="E20" s="1" t="s">
        <v>142</v>
      </c>
      <c r="F20" s="1" t="s">
        <v>139</v>
      </c>
      <c r="G20" s="1" t="s">
        <v>143</v>
      </c>
      <c r="H20" s="1" t="s">
        <v>140</v>
      </c>
      <c r="I20" s="1">
        <f>_xlfn.XLOOKUP(H20,'rank lookup'!$A$1:$A$21,'rank lookup'!$B$1:$B$21,,0)</f>
        <v>9</v>
      </c>
      <c r="J20" s="1"/>
      <c r="K20" s="23">
        <v>177</v>
      </c>
      <c r="L20" s="23">
        <v>165</v>
      </c>
      <c r="M20" s="5">
        <f t="shared" si="0"/>
        <v>52.666858182514609</v>
      </c>
      <c r="N20" s="4">
        <f t="shared" si="1"/>
        <v>69.685039370078741</v>
      </c>
      <c r="O20">
        <f t="shared" si="2"/>
        <v>5</v>
      </c>
      <c r="P20">
        <f t="shared" si="3"/>
        <v>9.6999999999999993</v>
      </c>
      <c r="Q20" t="str">
        <f t="shared" si="4"/>
        <v>5' 9.7"</v>
      </c>
      <c r="R20">
        <f t="shared" si="5"/>
        <v>364</v>
      </c>
      <c r="S20">
        <f t="shared" si="6"/>
        <v>32</v>
      </c>
      <c r="T20">
        <f t="shared" si="6"/>
        <v>17</v>
      </c>
      <c r="U20">
        <f t="shared" si="6"/>
        <v>6</v>
      </c>
      <c r="V20">
        <f>_xlfn.XLOOKUP(A20,'January 2023 Data'!$A$4:$A$49,'January 2023 Data'!$H$4:$H$49,,0)</f>
        <v>178</v>
      </c>
      <c r="W20">
        <f t="shared" si="7"/>
        <v>-1</v>
      </c>
      <c r="X20" t="s">
        <v>218</v>
      </c>
      <c r="Y20" t="str">
        <f t="shared" si="8"/>
        <v>Onosho, OUT</v>
      </c>
    </row>
    <row r="21" spans="1:25">
      <c r="A21" t="s">
        <v>155</v>
      </c>
      <c r="C21" s="1" t="s">
        <v>154</v>
      </c>
      <c r="D21" s="1" t="s">
        <v>154</v>
      </c>
      <c r="E21" s="1" t="s">
        <v>145</v>
      </c>
      <c r="F21" s="1" t="s">
        <v>143</v>
      </c>
      <c r="G21" s="1" t="s">
        <v>143</v>
      </c>
      <c r="H21" s="1" t="s">
        <v>140</v>
      </c>
      <c r="I21" s="1">
        <f>_xlfn.XLOOKUP(H21,'rank lookup'!$A$1:$A$21,'rank lookup'!$B$1:$B$21,,0)</f>
        <v>9</v>
      </c>
      <c r="J21" s="1"/>
      <c r="K21" s="23">
        <v>177</v>
      </c>
      <c r="L21" s="23">
        <v>135</v>
      </c>
      <c r="M21" s="5">
        <f t="shared" si="0"/>
        <v>43.091065785693765</v>
      </c>
      <c r="N21" s="4">
        <f t="shared" si="1"/>
        <v>69.685039370078741</v>
      </c>
      <c r="O21">
        <f t="shared" si="2"/>
        <v>5</v>
      </c>
      <c r="P21">
        <f t="shared" si="3"/>
        <v>9.6999999999999993</v>
      </c>
      <c r="Q21" t="str">
        <f t="shared" si="4"/>
        <v>5' 9.7"</v>
      </c>
      <c r="R21">
        <f t="shared" si="5"/>
        <v>298</v>
      </c>
      <c r="S21">
        <f t="shared" si="6"/>
        <v>32</v>
      </c>
      <c r="T21">
        <f t="shared" si="6"/>
        <v>35</v>
      </c>
      <c r="U21">
        <f t="shared" si="6"/>
        <v>31</v>
      </c>
      <c r="V21">
        <f>_xlfn.XLOOKUP(A21,'January 2023 Data'!$A$4:$A$49,'January 2023 Data'!$H$4:$H$49,,0)</f>
        <v>178</v>
      </c>
      <c r="W21">
        <f t="shared" si="7"/>
        <v>-1</v>
      </c>
      <c r="X21" s="22" t="s">
        <v>222</v>
      </c>
      <c r="Y21" t="str">
        <f t="shared" si="8"/>
        <v>Hiradoumi, 10-3</v>
      </c>
    </row>
    <row r="22" spans="1:25">
      <c r="A22" s="1" t="s">
        <v>191</v>
      </c>
      <c r="F22" t="s">
        <v>152</v>
      </c>
      <c r="G22" t="s">
        <v>147</v>
      </c>
      <c r="H22" t="s">
        <v>141</v>
      </c>
      <c r="I22" s="1">
        <f>_xlfn.XLOOKUP(H22,'rank lookup'!$A$1:$A$21,'rank lookup'!$B$1:$B$21,,0)</f>
        <v>10</v>
      </c>
      <c r="J22" s="1"/>
      <c r="K22" s="23">
        <v>204</v>
      </c>
      <c r="L22" s="23">
        <v>185</v>
      </c>
      <c r="M22" s="5">
        <f t="shared" si="0"/>
        <v>44.454056132256824</v>
      </c>
      <c r="N22" s="4">
        <f t="shared" si="1"/>
        <v>80.314960629921259</v>
      </c>
      <c r="O22">
        <f t="shared" si="2"/>
        <v>6</v>
      </c>
      <c r="P22">
        <f t="shared" si="3"/>
        <v>8.3000000000000007</v>
      </c>
      <c r="Q22" t="str">
        <f t="shared" si="4"/>
        <v>6' 8.3"</v>
      </c>
      <c r="R22">
        <f t="shared" si="5"/>
        <v>408</v>
      </c>
      <c r="S22">
        <f t="shared" si="6"/>
        <v>1</v>
      </c>
      <c r="T22">
        <f t="shared" si="6"/>
        <v>4</v>
      </c>
      <c r="U22">
        <f t="shared" si="6"/>
        <v>25</v>
      </c>
      <c r="V22" t="e">
        <f>_xlfn.XLOOKUP(A22,'January 2023 Data'!$A$4:$A$49,'January 2023 Data'!$H$4:$H$49,,0)</f>
        <v>#N/A</v>
      </c>
      <c r="W22" t="e">
        <f t="shared" si="7"/>
        <v>#N/A</v>
      </c>
      <c r="X22" s="22" t="s">
        <v>228</v>
      </c>
      <c r="Y22" t="str">
        <f t="shared" si="8"/>
        <v>Hokuseiho, 5-8</v>
      </c>
    </row>
    <row r="23" spans="1:25">
      <c r="A23" s="1" t="s">
        <v>88</v>
      </c>
      <c r="B23" s="1"/>
      <c r="C23" s="1" t="s">
        <v>150</v>
      </c>
      <c r="D23" s="1" t="s">
        <v>150</v>
      </c>
      <c r="E23" s="1" t="s">
        <v>142</v>
      </c>
      <c r="F23" s="1" t="s">
        <v>152</v>
      </c>
      <c r="G23" s="1" t="s">
        <v>154</v>
      </c>
      <c r="H23" s="1" t="s">
        <v>141</v>
      </c>
      <c r="I23" s="1">
        <f>_xlfn.XLOOKUP(H23,'rank lookup'!$A$1:$A$21,'rank lookup'!$B$1:$B$21,,0)</f>
        <v>10</v>
      </c>
      <c r="J23" s="1"/>
      <c r="K23" s="23">
        <v>190</v>
      </c>
      <c r="L23" s="23">
        <v>179</v>
      </c>
      <c r="M23" s="5">
        <f t="shared" si="0"/>
        <v>49.584487534626035</v>
      </c>
      <c r="N23" s="4">
        <f t="shared" si="1"/>
        <v>74.803149606299215</v>
      </c>
      <c r="O23">
        <f t="shared" si="2"/>
        <v>6</v>
      </c>
      <c r="P23">
        <f t="shared" si="3"/>
        <v>2.8</v>
      </c>
      <c r="Q23" t="str">
        <f t="shared" si="4"/>
        <v>6' 2.8"</v>
      </c>
      <c r="R23">
        <f t="shared" si="5"/>
        <v>395</v>
      </c>
      <c r="S23">
        <f t="shared" si="6"/>
        <v>6</v>
      </c>
      <c r="T23">
        <f t="shared" si="6"/>
        <v>8</v>
      </c>
      <c r="U23">
        <f t="shared" si="6"/>
        <v>11</v>
      </c>
      <c r="V23">
        <f>_xlfn.XLOOKUP(A23,'January 2023 Data'!$A$4:$A$49,'January 2023 Data'!$H$4:$H$49,,0)</f>
        <v>189</v>
      </c>
      <c r="W23">
        <f t="shared" si="7"/>
        <v>1</v>
      </c>
      <c r="X23" s="22" t="s">
        <v>228</v>
      </c>
      <c r="Y23" t="str">
        <f t="shared" si="8"/>
        <v>Oho, 5-8</v>
      </c>
    </row>
    <row r="24" spans="1:25">
      <c r="A24" s="1" t="s">
        <v>96</v>
      </c>
      <c r="B24" s="1"/>
      <c r="C24" s="1" t="s">
        <v>139</v>
      </c>
      <c r="D24" s="1" t="s">
        <v>132</v>
      </c>
      <c r="E24" s="1" t="s">
        <v>31</v>
      </c>
      <c r="F24" s="1" t="s">
        <v>135</v>
      </c>
      <c r="G24" s="1" t="s">
        <v>136</v>
      </c>
      <c r="H24" s="1" t="s">
        <v>135</v>
      </c>
      <c r="I24" s="1">
        <f>_xlfn.XLOOKUP(H24,'rank lookup'!$A$1:$A$21,'rank lookup'!$B$1:$B$21,,0)</f>
        <v>11</v>
      </c>
      <c r="J24" s="1"/>
      <c r="K24" s="23">
        <v>188</v>
      </c>
      <c r="L24" s="23">
        <v>183</v>
      </c>
      <c r="M24" s="5">
        <f t="shared" si="0"/>
        <v>51.776822091444096</v>
      </c>
      <c r="N24" s="4">
        <f t="shared" si="1"/>
        <v>74.015748031496059</v>
      </c>
      <c r="O24">
        <f t="shared" si="2"/>
        <v>6</v>
      </c>
      <c r="P24">
        <f t="shared" si="3"/>
        <v>2</v>
      </c>
      <c r="Q24" t="str">
        <f t="shared" si="4"/>
        <v>6' 2"</v>
      </c>
      <c r="R24">
        <f t="shared" si="5"/>
        <v>403</v>
      </c>
      <c r="S24">
        <f t="shared" si="6"/>
        <v>10</v>
      </c>
      <c r="T24">
        <f t="shared" si="6"/>
        <v>5</v>
      </c>
      <c r="U24">
        <f t="shared" si="6"/>
        <v>8</v>
      </c>
      <c r="V24">
        <f>_xlfn.XLOOKUP(A24,'January 2023 Data'!$A$4:$A$49,'January 2023 Data'!$H$4:$H$49,,0)</f>
        <v>186</v>
      </c>
      <c r="W24">
        <f t="shared" si="7"/>
        <v>2</v>
      </c>
      <c r="X24" s="22" t="s">
        <v>225</v>
      </c>
      <c r="Y24" t="str">
        <f t="shared" si="8"/>
        <v>Takayasu, 8-5</v>
      </c>
    </row>
    <row r="25" spans="1:25">
      <c r="A25" s="1" t="s">
        <v>92</v>
      </c>
      <c r="B25" s="1">
        <v>2</v>
      </c>
      <c r="C25" s="1" t="s">
        <v>137</v>
      </c>
      <c r="D25" s="1" t="s">
        <v>42</v>
      </c>
      <c r="E25" s="1" t="s">
        <v>136</v>
      </c>
      <c r="F25" s="1" t="s">
        <v>132</v>
      </c>
      <c r="G25" s="1" t="s">
        <v>135</v>
      </c>
      <c r="H25" s="1" t="s">
        <v>135</v>
      </c>
      <c r="I25" s="1">
        <f>_xlfn.XLOOKUP(H25,'rank lookup'!$A$1:$A$21,'rank lookup'!$B$1:$B$21,,0)</f>
        <v>11</v>
      </c>
      <c r="J25" s="1"/>
      <c r="K25" s="23">
        <v>189</v>
      </c>
      <c r="L25" s="23">
        <v>174</v>
      </c>
      <c r="M25" s="5">
        <f t="shared" si="0"/>
        <v>48.710842361636011</v>
      </c>
      <c r="N25" s="4">
        <f t="shared" si="1"/>
        <v>74.409448818897644</v>
      </c>
      <c r="O25">
        <f t="shared" si="2"/>
        <v>6</v>
      </c>
      <c r="P25">
        <f t="shared" si="3"/>
        <v>2.4</v>
      </c>
      <c r="Q25" t="str">
        <f t="shared" si="4"/>
        <v>6' 2.4"</v>
      </c>
      <c r="R25">
        <f t="shared" si="5"/>
        <v>384</v>
      </c>
      <c r="S25">
        <f t="shared" si="6"/>
        <v>7</v>
      </c>
      <c r="T25">
        <f t="shared" si="6"/>
        <v>10</v>
      </c>
      <c r="U25">
        <f t="shared" si="6"/>
        <v>16</v>
      </c>
      <c r="V25">
        <f>_xlfn.XLOOKUP(A25,'January 2023 Data'!$A$4:$A$49,'January 2023 Data'!$H$4:$H$49,,0)</f>
        <v>189</v>
      </c>
      <c r="W25">
        <f t="shared" si="7"/>
        <v>0</v>
      </c>
      <c r="X25" s="22" t="s">
        <v>225</v>
      </c>
      <c r="Y25" t="str">
        <f t="shared" si="8"/>
        <v>Tamawashi, 8-5</v>
      </c>
    </row>
    <row r="26" spans="1:25">
      <c r="A26" t="s">
        <v>144</v>
      </c>
      <c r="C26" s="1" t="s">
        <v>145</v>
      </c>
      <c r="D26" s="1" t="s">
        <v>140</v>
      </c>
      <c r="E26" s="1" t="s">
        <v>139</v>
      </c>
      <c r="F26" s="1" t="s">
        <v>145</v>
      </c>
      <c r="G26" s="1" t="s">
        <v>137</v>
      </c>
      <c r="H26" s="1" t="s">
        <v>142</v>
      </c>
      <c r="I26" s="1">
        <f>_xlfn.XLOOKUP(H26,'rank lookup'!$A$1:$A$21,'rank lookup'!$B$1:$B$21,,0)</f>
        <v>12</v>
      </c>
      <c r="J26" s="1"/>
      <c r="K26" s="23">
        <v>184</v>
      </c>
      <c r="L26" s="23">
        <v>149</v>
      </c>
      <c r="M26" s="5">
        <f t="shared" si="0"/>
        <v>44.009924385633276</v>
      </c>
      <c r="N26" s="4">
        <f t="shared" si="1"/>
        <v>72.440944881889763</v>
      </c>
      <c r="O26">
        <f t="shared" si="2"/>
        <v>6</v>
      </c>
      <c r="P26">
        <f t="shared" si="3"/>
        <v>0.4</v>
      </c>
      <c r="Q26" t="str">
        <f t="shared" si="4"/>
        <v>6' 0.4"</v>
      </c>
      <c r="R26">
        <f t="shared" si="5"/>
        <v>328</v>
      </c>
      <c r="S26">
        <f t="shared" si="6"/>
        <v>21</v>
      </c>
      <c r="T26">
        <f t="shared" si="6"/>
        <v>28</v>
      </c>
      <c r="U26">
        <f t="shared" si="6"/>
        <v>29</v>
      </c>
      <c r="V26">
        <f>_xlfn.XLOOKUP(A26,'January 2023 Data'!$A$4:$A$49,'January 2023 Data'!$H$4:$H$49,,0)</f>
        <v>184</v>
      </c>
      <c r="W26">
        <f t="shared" si="7"/>
        <v>0</v>
      </c>
      <c r="X26" s="22" t="s">
        <v>220</v>
      </c>
      <c r="Y26" t="str">
        <f t="shared" si="8"/>
        <v>Nishikifuji, 7-6</v>
      </c>
    </row>
    <row r="27" spans="1:25">
      <c r="A27" s="1" t="s">
        <v>111</v>
      </c>
      <c r="B27" s="1"/>
      <c r="C27" s="1" t="s">
        <v>140</v>
      </c>
      <c r="D27" s="1" t="s">
        <v>139</v>
      </c>
      <c r="E27" s="1" t="s">
        <v>139</v>
      </c>
      <c r="F27" s="1" t="s">
        <v>141</v>
      </c>
      <c r="G27" s="1" t="s">
        <v>142</v>
      </c>
      <c r="H27" s="1" t="s">
        <v>142</v>
      </c>
      <c r="I27" s="1">
        <f>_xlfn.XLOOKUP(H27,'rank lookup'!$A$1:$A$21,'rank lookup'!$B$1:$B$21,,0)</f>
        <v>12</v>
      </c>
      <c r="J27" s="1"/>
      <c r="K27" s="23">
        <v>182</v>
      </c>
      <c r="L27" s="23">
        <v>142</v>
      </c>
      <c r="M27" s="5">
        <f t="shared" si="0"/>
        <v>42.869218693394522</v>
      </c>
      <c r="N27" s="4">
        <f t="shared" si="1"/>
        <v>71.653543307086608</v>
      </c>
      <c r="O27">
        <f t="shared" si="2"/>
        <v>5</v>
      </c>
      <c r="P27">
        <f t="shared" si="3"/>
        <v>11.7</v>
      </c>
      <c r="Q27" t="str">
        <f t="shared" si="4"/>
        <v>5' 11.7"</v>
      </c>
      <c r="R27">
        <f t="shared" si="5"/>
        <v>313</v>
      </c>
      <c r="S27">
        <f t="shared" si="6"/>
        <v>27</v>
      </c>
      <c r="T27">
        <f t="shared" si="6"/>
        <v>32</v>
      </c>
      <c r="U27">
        <f t="shared" si="6"/>
        <v>33</v>
      </c>
      <c r="V27">
        <f>_xlfn.XLOOKUP(A27,'January 2023 Data'!$A$4:$A$49,'January 2023 Data'!$H$4:$H$49,,0)</f>
        <v>182</v>
      </c>
      <c r="W27">
        <f t="shared" si="7"/>
        <v>0</v>
      </c>
      <c r="X27" s="22" t="s">
        <v>220</v>
      </c>
      <c r="Y27" t="str">
        <f t="shared" si="8"/>
        <v>Sadanoumi, 7-6</v>
      </c>
    </row>
    <row r="28" spans="1:25">
      <c r="A28" s="1" t="s">
        <v>103</v>
      </c>
      <c r="B28" s="1"/>
      <c r="C28" s="1" t="s">
        <v>142</v>
      </c>
      <c r="D28" s="1" t="s">
        <v>140</v>
      </c>
      <c r="E28" s="1" t="s">
        <v>141</v>
      </c>
      <c r="F28" s="1" t="s">
        <v>135</v>
      </c>
      <c r="G28" s="1" t="s">
        <v>135</v>
      </c>
      <c r="H28" s="1" t="s">
        <v>143</v>
      </c>
      <c r="I28" s="1">
        <f>_xlfn.XLOOKUP(H28,'rank lookup'!$A$1:$A$21,'rank lookup'!$B$1:$B$21,,0)</f>
        <v>13</v>
      </c>
      <c r="J28" s="1"/>
      <c r="K28" s="23">
        <v>184</v>
      </c>
      <c r="L28" s="23">
        <v>158</v>
      </c>
      <c r="M28" s="5">
        <f t="shared" si="0"/>
        <v>46.668241965973536</v>
      </c>
      <c r="N28" s="4">
        <f t="shared" si="1"/>
        <v>72.440944881889763</v>
      </c>
      <c r="O28">
        <f t="shared" si="2"/>
        <v>6</v>
      </c>
      <c r="P28">
        <f t="shared" si="3"/>
        <v>0.4</v>
      </c>
      <c r="Q28" t="str">
        <f t="shared" si="4"/>
        <v>6' 0.4"</v>
      </c>
      <c r="R28">
        <f t="shared" si="5"/>
        <v>348</v>
      </c>
      <c r="S28">
        <f t="shared" si="6"/>
        <v>21</v>
      </c>
      <c r="T28">
        <f t="shared" si="6"/>
        <v>22</v>
      </c>
      <c r="U28">
        <f t="shared" si="6"/>
        <v>22</v>
      </c>
      <c r="V28">
        <f>_xlfn.XLOOKUP(A28,'January 2023 Data'!$A$4:$A$49,'January 2023 Data'!$H$4:$H$49,,0)</f>
        <v>184</v>
      </c>
      <c r="W28">
        <f t="shared" si="7"/>
        <v>0</v>
      </c>
      <c r="X28" s="22" t="s">
        <v>224</v>
      </c>
      <c r="Y28" t="str">
        <f t="shared" si="8"/>
        <v>Hokutofuji, 4-9</v>
      </c>
    </row>
    <row r="29" spans="1:25">
      <c r="A29" s="1" t="s">
        <v>101</v>
      </c>
      <c r="B29" s="1"/>
      <c r="C29" s="1" t="s">
        <v>145</v>
      </c>
      <c r="D29" s="1" t="s">
        <v>143</v>
      </c>
      <c r="E29" s="1" t="s">
        <v>143</v>
      </c>
      <c r="F29" s="1" t="s">
        <v>147</v>
      </c>
      <c r="G29" s="1" t="s">
        <v>142</v>
      </c>
      <c r="H29" s="1" t="s">
        <v>143</v>
      </c>
      <c r="I29" s="1">
        <f>_xlfn.XLOOKUP(H29,'rank lookup'!$A$1:$A$21,'rank lookup'!$B$1:$B$21,,0)</f>
        <v>13</v>
      </c>
      <c r="J29" s="1"/>
      <c r="K29" s="23">
        <v>183</v>
      </c>
      <c r="L29" s="23">
        <v>170</v>
      </c>
      <c r="M29" s="5">
        <f t="shared" si="0"/>
        <v>50.762937083818564</v>
      </c>
      <c r="N29" s="4">
        <f t="shared" si="1"/>
        <v>72.047244094488192</v>
      </c>
      <c r="O29">
        <f t="shared" si="2"/>
        <v>6</v>
      </c>
      <c r="P29">
        <f t="shared" si="3"/>
        <v>0</v>
      </c>
      <c r="Q29" t="str">
        <f t="shared" si="4"/>
        <v>6' 0"</v>
      </c>
      <c r="R29">
        <f t="shared" si="5"/>
        <v>375</v>
      </c>
      <c r="S29">
        <f t="shared" si="6"/>
        <v>26</v>
      </c>
      <c r="T29">
        <f t="shared" si="6"/>
        <v>14</v>
      </c>
      <c r="U29">
        <f t="shared" si="6"/>
        <v>10</v>
      </c>
      <c r="V29">
        <f>_xlfn.XLOOKUP(A29,'January 2023 Data'!$A$4:$A$49,'January 2023 Data'!$H$4:$H$49,,0)</f>
        <v>184</v>
      </c>
      <c r="W29">
        <f t="shared" si="7"/>
        <v>-1</v>
      </c>
      <c r="X29" s="22" t="s">
        <v>228</v>
      </c>
      <c r="Y29" t="str">
        <f t="shared" si="8"/>
        <v>Takanosho, 5-8</v>
      </c>
    </row>
    <row r="30" spans="1:25">
      <c r="A30" s="1" t="s">
        <v>189</v>
      </c>
      <c r="F30" t="s">
        <v>151</v>
      </c>
      <c r="G30" t="s">
        <v>140</v>
      </c>
      <c r="H30" s="1" t="s">
        <v>145</v>
      </c>
      <c r="I30" s="1">
        <f>_xlfn.XLOOKUP(H30,'rank lookup'!$A$1:$A$21,'rank lookup'!$B$1:$B$21,,0)</f>
        <v>14</v>
      </c>
      <c r="J30" s="1"/>
      <c r="K30" s="23">
        <v>192</v>
      </c>
      <c r="L30" s="23">
        <v>181</v>
      </c>
      <c r="M30" s="5">
        <f t="shared" si="0"/>
        <v>49.099392361111107</v>
      </c>
      <c r="N30" s="4">
        <f t="shared" si="1"/>
        <v>75.59055118110237</v>
      </c>
      <c r="O30">
        <f t="shared" si="2"/>
        <v>6</v>
      </c>
      <c r="P30">
        <f t="shared" si="3"/>
        <v>3.6</v>
      </c>
      <c r="Q30" t="str">
        <f t="shared" si="4"/>
        <v>6' 3.6"</v>
      </c>
      <c r="R30">
        <f t="shared" si="5"/>
        <v>399</v>
      </c>
      <c r="S30">
        <f t="shared" si="6"/>
        <v>2</v>
      </c>
      <c r="T30">
        <f t="shared" si="6"/>
        <v>6</v>
      </c>
      <c r="U30">
        <f t="shared" si="6"/>
        <v>15</v>
      </c>
      <c r="V30" t="e">
        <f>_xlfn.XLOOKUP(A30,'January 2023 Data'!$A$4:$A$49,'January 2023 Data'!$H$4:$H$49,,0)</f>
        <v>#N/A</v>
      </c>
      <c r="W30" t="e">
        <f t="shared" si="7"/>
        <v>#N/A</v>
      </c>
      <c r="X30" s="22" t="s">
        <v>229</v>
      </c>
      <c r="Y30" t="str">
        <f t="shared" si="8"/>
        <v>Kinbozan, 6-7</v>
      </c>
    </row>
    <row r="31" spans="1:25">
      <c r="A31" s="1" t="s">
        <v>97</v>
      </c>
      <c r="B31" s="1"/>
      <c r="C31" s="1" t="s">
        <v>143</v>
      </c>
      <c r="D31" s="1" t="s">
        <v>135</v>
      </c>
      <c r="E31" s="1" t="s">
        <v>141</v>
      </c>
      <c r="F31" s="1" t="s">
        <v>145</v>
      </c>
      <c r="G31" s="1" t="s">
        <v>151</v>
      </c>
      <c r="H31" s="1" t="s">
        <v>145</v>
      </c>
      <c r="I31" s="1">
        <f>_xlfn.XLOOKUP(H31,'rank lookup'!$A$1:$A$21,'rank lookup'!$B$1:$B$21,,0)</f>
        <v>14</v>
      </c>
      <c r="J31" s="1"/>
      <c r="K31" s="23">
        <v>188</v>
      </c>
      <c r="L31" s="23">
        <v>156</v>
      </c>
      <c r="M31" s="5">
        <f t="shared" si="0"/>
        <v>44.137618832050705</v>
      </c>
      <c r="N31" s="4">
        <f t="shared" si="1"/>
        <v>74.015748031496059</v>
      </c>
      <c r="O31">
        <f t="shared" si="2"/>
        <v>6</v>
      </c>
      <c r="P31">
        <f t="shared" si="3"/>
        <v>2</v>
      </c>
      <c r="Q31" t="str">
        <f t="shared" si="4"/>
        <v>6' 2"</v>
      </c>
      <c r="R31">
        <f t="shared" si="5"/>
        <v>344</v>
      </c>
      <c r="S31">
        <f t="shared" si="6"/>
        <v>10</v>
      </c>
      <c r="T31">
        <f t="shared" si="6"/>
        <v>24</v>
      </c>
      <c r="U31">
        <f t="shared" si="6"/>
        <v>27</v>
      </c>
      <c r="V31">
        <f>_xlfn.XLOOKUP(A31,'January 2023 Data'!$A$4:$A$49,'January 2023 Data'!$H$4:$H$49,,0)</f>
        <v>189</v>
      </c>
      <c r="W31">
        <f t="shared" si="7"/>
        <v>-1</v>
      </c>
      <c r="X31" s="22" t="s">
        <v>225</v>
      </c>
      <c r="Y31" t="str">
        <f t="shared" si="8"/>
        <v>Myogiryu, 8-5</v>
      </c>
    </row>
    <row r="32" spans="1:25">
      <c r="A32" s="1" t="s">
        <v>122</v>
      </c>
      <c r="B32" s="1"/>
      <c r="C32" s="1" t="s">
        <v>143</v>
      </c>
      <c r="D32" s="1" t="s">
        <v>148</v>
      </c>
      <c r="E32" s="1" t="s">
        <v>150</v>
      </c>
      <c r="F32" s="1" t="s">
        <v>150</v>
      </c>
      <c r="G32" s="1" t="s">
        <v>148</v>
      </c>
      <c r="H32" s="1" t="s">
        <v>147</v>
      </c>
      <c r="I32" s="1">
        <f>_xlfn.XLOOKUP(H32,'rank lookup'!$A$1:$A$21,'rank lookup'!$B$1:$B$21,,0)</f>
        <v>15</v>
      </c>
      <c r="J32" s="1"/>
      <c r="K32" s="23">
        <v>176</v>
      </c>
      <c r="L32" s="23">
        <v>133</v>
      </c>
      <c r="M32" s="5">
        <f t="shared" si="0"/>
        <v>42.936466942148755</v>
      </c>
      <c r="N32" s="4">
        <f t="shared" si="1"/>
        <v>69.29133858267717</v>
      </c>
      <c r="O32">
        <f t="shared" si="2"/>
        <v>5</v>
      </c>
      <c r="P32">
        <f t="shared" si="3"/>
        <v>9.3000000000000007</v>
      </c>
      <c r="Q32" t="str">
        <f t="shared" si="4"/>
        <v>5' 9.3"</v>
      </c>
      <c r="R32">
        <f t="shared" si="5"/>
        <v>293</v>
      </c>
      <c r="S32">
        <f t="shared" si="6"/>
        <v>34</v>
      </c>
      <c r="T32">
        <f t="shared" si="6"/>
        <v>37</v>
      </c>
      <c r="U32">
        <f t="shared" si="6"/>
        <v>32</v>
      </c>
      <c r="V32">
        <f>_xlfn.XLOOKUP(A32,'January 2023 Data'!$A$4:$A$49,'January 2023 Data'!$H$4:$H$49,,0)</f>
        <v>176</v>
      </c>
      <c r="W32">
        <f t="shared" si="7"/>
        <v>0</v>
      </c>
      <c r="X32" s="22" t="s">
        <v>228</v>
      </c>
      <c r="Y32" t="str">
        <f t="shared" si="8"/>
        <v>Kotoeko, 5-8</v>
      </c>
    </row>
    <row r="33" spans="1:25">
      <c r="A33" s="1" t="s">
        <v>108</v>
      </c>
      <c r="B33" s="1"/>
      <c r="C33" s="1" t="s">
        <v>152</v>
      </c>
      <c r="D33" s="1" t="s">
        <v>170</v>
      </c>
      <c r="E33" s="1" t="s">
        <v>152</v>
      </c>
      <c r="F33" s="1" t="s">
        <v>154</v>
      </c>
      <c r="G33" s="1" t="s">
        <v>152</v>
      </c>
      <c r="H33" s="1" t="s">
        <v>147</v>
      </c>
      <c r="I33" s="1">
        <f>_xlfn.XLOOKUP(H33,'rank lookup'!$A$1:$A$21,'rank lookup'!$B$1:$B$21,,0)</f>
        <v>15</v>
      </c>
      <c r="J33" s="1"/>
      <c r="K33" s="23">
        <v>185</v>
      </c>
      <c r="L33" s="23">
        <v>194</v>
      </c>
      <c r="M33" s="5">
        <f t="shared" si="0"/>
        <v>56.683710737764791</v>
      </c>
      <c r="N33" s="4">
        <f t="shared" si="1"/>
        <v>72.834645669291348</v>
      </c>
      <c r="O33">
        <f t="shared" si="2"/>
        <v>6</v>
      </c>
      <c r="P33">
        <f t="shared" si="3"/>
        <v>0.8</v>
      </c>
      <c r="Q33" t="str">
        <f t="shared" si="4"/>
        <v>6' 0.8"</v>
      </c>
      <c r="R33">
        <f t="shared" si="5"/>
        <v>428</v>
      </c>
      <c r="S33">
        <f t="shared" si="6"/>
        <v>18</v>
      </c>
      <c r="T33">
        <f t="shared" si="6"/>
        <v>2</v>
      </c>
      <c r="U33">
        <f t="shared" si="6"/>
        <v>3</v>
      </c>
      <c r="V33">
        <f>_xlfn.XLOOKUP(A33,'January 2023 Data'!$A$4:$A$49,'January 2023 Data'!$H$4:$H$49,,0)</f>
        <v>184</v>
      </c>
      <c r="W33">
        <f t="shared" si="7"/>
        <v>1</v>
      </c>
      <c r="X33" s="22" t="s">
        <v>220</v>
      </c>
      <c r="Y33" t="str">
        <f t="shared" si="8"/>
        <v>Tsurugisho, 7-6</v>
      </c>
    </row>
    <row r="34" spans="1:25">
      <c r="A34" s="1" t="s">
        <v>114</v>
      </c>
      <c r="B34" s="1"/>
      <c r="C34" s="1" t="s">
        <v>31</v>
      </c>
      <c r="D34" s="1" t="s">
        <v>31</v>
      </c>
      <c r="E34" s="1" t="s">
        <v>31</v>
      </c>
      <c r="F34" s="1" t="s">
        <v>31</v>
      </c>
      <c r="G34" s="1" t="s">
        <v>42</v>
      </c>
      <c r="H34" s="1" t="s">
        <v>148</v>
      </c>
      <c r="I34" s="1">
        <f>_xlfn.XLOOKUP(H34,'rank lookup'!$A$1:$A$21,'rank lookup'!$B$1:$B$21,,0)</f>
        <v>16</v>
      </c>
      <c r="J34" s="1"/>
      <c r="K34" s="23">
        <v>182</v>
      </c>
      <c r="L34" s="23">
        <v>132</v>
      </c>
      <c r="M34" s="5">
        <f t="shared" si="0"/>
        <v>39.850259630479414</v>
      </c>
      <c r="N34" s="4">
        <f t="shared" si="1"/>
        <v>71.653543307086608</v>
      </c>
      <c r="O34">
        <f t="shared" si="2"/>
        <v>5</v>
      </c>
      <c r="P34">
        <f t="shared" si="3"/>
        <v>11.7</v>
      </c>
      <c r="Q34" t="str">
        <f t="shared" si="4"/>
        <v>5' 11.7"</v>
      </c>
      <c r="R34">
        <f t="shared" si="5"/>
        <v>291</v>
      </c>
      <c r="S34">
        <f t="shared" si="6"/>
        <v>27</v>
      </c>
      <c r="T34">
        <f t="shared" si="6"/>
        <v>38</v>
      </c>
      <c r="U34">
        <f t="shared" si="6"/>
        <v>38</v>
      </c>
      <c r="V34">
        <f>_xlfn.XLOOKUP(A34,'January 2023 Data'!$A$4:$A$49,'January 2023 Data'!$H$4:$H$49,,0)</f>
        <v>183</v>
      </c>
      <c r="W34">
        <f t="shared" si="7"/>
        <v>-1</v>
      </c>
      <c r="X34" s="22" t="s">
        <v>226</v>
      </c>
      <c r="Y34" t="str">
        <f t="shared" si="8"/>
        <v>Wakatakakage, 3-10</v>
      </c>
    </row>
    <row r="35" spans="1:25">
      <c r="A35" s="1" t="s">
        <v>110</v>
      </c>
      <c r="B35" s="1"/>
      <c r="C35" s="1" t="s">
        <v>151</v>
      </c>
      <c r="D35" s="1" t="s">
        <v>145</v>
      </c>
      <c r="E35" s="1" t="s">
        <v>147</v>
      </c>
      <c r="F35" s="1" t="s">
        <v>154</v>
      </c>
      <c r="G35" s="1" t="s">
        <v>150</v>
      </c>
      <c r="H35" s="1" t="s">
        <v>148</v>
      </c>
      <c r="I35" s="1">
        <f>_xlfn.XLOOKUP(H35,'rank lookup'!$A$1:$A$21,'rank lookup'!$B$1:$B$21,,0)</f>
        <v>16</v>
      </c>
      <c r="J35" s="1"/>
      <c r="K35" s="23">
        <v>184</v>
      </c>
      <c r="L35" s="23">
        <v>137</v>
      </c>
      <c r="M35" s="5">
        <f t="shared" si="0"/>
        <v>40.465500945179578</v>
      </c>
      <c r="N35" s="4">
        <f t="shared" si="1"/>
        <v>72.440944881889763</v>
      </c>
      <c r="O35">
        <f t="shared" si="2"/>
        <v>6</v>
      </c>
      <c r="P35">
        <f t="shared" si="3"/>
        <v>0.4</v>
      </c>
      <c r="Q35" t="str">
        <f t="shared" si="4"/>
        <v>6' 0.4"</v>
      </c>
      <c r="R35">
        <f t="shared" si="5"/>
        <v>302</v>
      </c>
      <c r="S35">
        <f t="shared" si="6"/>
        <v>21</v>
      </c>
      <c r="T35">
        <f t="shared" si="6"/>
        <v>34</v>
      </c>
      <c r="U35">
        <f t="shared" si="6"/>
        <v>36</v>
      </c>
      <c r="V35">
        <f>_xlfn.XLOOKUP(A35,'January 2023 Data'!$A$4:$A$49,'January 2023 Data'!$H$4:$H$49,,0)</f>
        <v>183</v>
      </c>
      <c r="W35">
        <f t="shared" si="7"/>
        <v>1</v>
      </c>
      <c r="X35" s="22" t="s">
        <v>228</v>
      </c>
      <c r="Y35" t="str">
        <f t="shared" si="8"/>
        <v>Chiyoshoma, 5-8</v>
      </c>
    </row>
    <row r="36" spans="1:25">
      <c r="A36" t="s">
        <v>146</v>
      </c>
      <c r="C36" s="1" t="s">
        <v>147</v>
      </c>
      <c r="D36" s="1" t="s">
        <v>147</v>
      </c>
      <c r="E36" s="1" t="s">
        <v>150</v>
      </c>
      <c r="F36" s="1" t="s">
        <v>140</v>
      </c>
      <c r="G36" s="1" t="s">
        <v>140</v>
      </c>
      <c r="H36" s="1" t="s">
        <v>150</v>
      </c>
      <c r="I36" s="1">
        <f>_xlfn.XLOOKUP(H36,'rank lookup'!$A$1:$A$21,'rank lookup'!$B$1:$B$21,,0)</f>
        <v>17</v>
      </c>
      <c r="J36" s="1"/>
      <c r="K36" s="23">
        <v>191</v>
      </c>
      <c r="L36" s="23">
        <v>161</v>
      </c>
      <c r="M36" s="5">
        <f t="shared" si="0"/>
        <v>44.13256215564266</v>
      </c>
      <c r="N36" s="4">
        <f t="shared" si="1"/>
        <v>75.196850393700785</v>
      </c>
      <c r="O36">
        <f t="shared" si="2"/>
        <v>6</v>
      </c>
      <c r="P36">
        <f t="shared" si="3"/>
        <v>3.2</v>
      </c>
      <c r="Q36" t="str">
        <f t="shared" si="4"/>
        <v>6' 3.2"</v>
      </c>
      <c r="R36">
        <f t="shared" si="5"/>
        <v>355</v>
      </c>
      <c r="S36">
        <f t="shared" si="6"/>
        <v>4</v>
      </c>
      <c r="T36">
        <f t="shared" si="6"/>
        <v>20</v>
      </c>
      <c r="U36">
        <f t="shared" si="6"/>
        <v>28</v>
      </c>
      <c r="V36">
        <f>_xlfn.XLOOKUP(A36,'January 2023 Data'!$A$4:$A$49,'January 2023 Data'!$H$4:$H$49,,0)</f>
        <v>189</v>
      </c>
      <c r="W36">
        <f t="shared" si="7"/>
        <v>2</v>
      </c>
      <c r="X36" s="22" t="s">
        <v>229</v>
      </c>
      <c r="Y36" t="str">
        <f t="shared" si="8"/>
        <v>Kotoshoho, 6-7</v>
      </c>
    </row>
    <row r="37" spans="1:25">
      <c r="A37" s="1" t="s">
        <v>242</v>
      </c>
      <c r="H37" t="s">
        <v>150</v>
      </c>
      <c r="I37" s="1">
        <f>_xlfn.XLOOKUP(H37,'rank lookup'!$A$1:$A$21,'rank lookup'!$B$1:$B$21,,0)</f>
        <v>17</v>
      </c>
      <c r="S37" t="e">
        <f t="shared" si="6"/>
        <v>#N/A</v>
      </c>
      <c r="T37" t="e">
        <f t="shared" si="6"/>
        <v>#N/A</v>
      </c>
      <c r="U37" t="e">
        <f t="shared" si="6"/>
        <v>#N/A</v>
      </c>
      <c r="V37" t="e">
        <f>_xlfn.XLOOKUP(A37,'January 2023 Data'!$A$4:$A$49,'January 2023 Data'!$H$4:$H$49,,0)</f>
        <v>#N/A</v>
      </c>
      <c r="W37" t="e">
        <f t="shared" si="7"/>
        <v>#N/A</v>
      </c>
      <c r="X37" s="22" t="s">
        <v>225</v>
      </c>
      <c r="Y37" t="str">
        <f t="shared" si="8"/>
        <v>Gonoyama, 8-5</v>
      </c>
    </row>
    <row r="38" spans="1:25">
      <c r="A38" s="1" t="s">
        <v>188</v>
      </c>
      <c r="F38" t="s">
        <v>150</v>
      </c>
      <c r="G38" t="s">
        <v>147</v>
      </c>
      <c r="H38" s="1" t="s">
        <v>151</v>
      </c>
      <c r="I38" s="1">
        <f>_xlfn.XLOOKUP(H38,'rank lookup'!$A$1:$A$21,'rank lookup'!$B$1:$B$21,,0)</f>
        <v>18</v>
      </c>
      <c r="J38" s="1"/>
      <c r="K38" s="23">
        <v>185</v>
      </c>
      <c r="L38" s="23">
        <v>196</v>
      </c>
      <c r="M38" s="5">
        <f>L38/(K38*K38)*10000</f>
        <v>57.268078889700504</v>
      </c>
      <c r="N38" s="4">
        <f>CONVERT(K38,"cm","in")</f>
        <v>72.834645669291348</v>
      </c>
      <c r="O38">
        <f>_xlfn.FLOOR.MATH(N38/12)</f>
        <v>6</v>
      </c>
      <c r="P38">
        <f>ROUND(N38-O38*12,1)</f>
        <v>0.8</v>
      </c>
      <c r="Q38" t="str">
        <f>O38&amp;"' "&amp;P38&amp;""""</f>
        <v>6' 0.8"</v>
      </c>
      <c r="R38">
        <f>ROUND(CONVERT(L38,"kg","lbm"),0)</f>
        <v>432</v>
      </c>
      <c r="S38">
        <f t="shared" si="6"/>
        <v>18</v>
      </c>
      <c r="T38">
        <f t="shared" si="6"/>
        <v>1</v>
      </c>
      <c r="U38">
        <f t="shared" si="6"/>
        <v>2</v>
      </c>
      <c r="V38" t="e">
        <f>_xlfn.XLOOKUP(A38,'January 2023 Data'!$A$4:$A$49,'January 2023 Data'!$H$4:$H$49,,0)</f>
        <v>#N/A</v>
      </c>
      <c r="W38" t="e">
        <f t="shared" si="7"/>
        <v>#N/A</v>
      </c>
      <c r="X38" s="22" t="s">
        <v>225</v>
      </c>
      <c r="Y38" t="str">
        <f t="shared" si="8"/>
        <v>Daishoho, 8-5</v>
      </c>
    </row>
    <row r="39" spans="1:25">
      <c r="A39" s="1" t="s">
        <v>243</v>
      </c>
      <c r="H39" t="s">
        <v>151</v>
      </c>
      <c r="I39" s="1">
        <f>_xlfn.XLOOKUP(H39,'rank lookup'!$A$1:$A$21,'rank lookup'!$B$1:$B$21,,0)</f>
        <v>18</v>
      </c>
      <c r="S39" t="e">
        <f t="shared" si="6"/>
        <v>#N/A</v>
      </c>
      <c r="T39" t="e">
        <f t="shared" si="6"/>
        <v>#N/A</v>
      </c>
      <c r="U39" t="e">
        <f t="shared" si="6"/>
        <v>#N/A</v>
      </c>
      <c r="V39" t="e">
        <f>_xlfn.XLOOKUP(A39,'January 2023 Data'!$A$4:$A$49,'January 2023 Data'!$H$4:$H$49,,0)</f>
        <v>#N/A</v>
      </c>
      <c r="W39" t="e">
        <f t="shared" si="7"/>
        <v>#N/A</v>
      </c>
      <c r="X39" s="22" t="s">
        <v>221</v>
      </c>
      <c r="Y39" t="str">
        <f t="shared" si="8"/>
        <v>Shonannoumi, 9-4</v>
      </c>
    </row>
    <row r="40" spans="1:25">
      <c r="A40" t="s">
        <v>149</v>
      </c>
      <c r="C40" s="1" t="s">
        <v>148</v>
      </c>
      <c r="D40" s="1" t="s">
        <v>141</v>
      </c>
      <c r="E40" s="1" t="s">
        <v>140</v>
      </c>
      <c r="F40" s="1" t="s">
        <v>136</v>
      </c>
      <c r="G40" s="1" t="s">
        <v>145</v>
      </c>
      <c r="H40" s="1" t="s">
        <v>152</v>
      </c>
      <c r="I40" s="1">
        <f>_xlfn.XLOOKUP(H40,'rank lookup'!$A$1:$A$21,'rank lookup'!$B$1:$B$21,,0)</f>
        <v>19</v>
      </c>
      <c r="J40" s="1"/>
      <c r="K40" s="24">
        <v>188</v>
      </c>
      <c r="L40" s="23">
        <v>155</v>
      </c>
      <c r="M40" s="5">
        <f>L40/(K40*K40)*10000</f>
        <v>43.854685377999097</v>
      </c>
      <c r="N40" s="4">
        <f>CONVERT(K40,"cm","in")</f>
        <v>74.015748031496059</v>
      </c>
      <c r="O40">
        <f>_xlfn.FLOOR.MATH(N40/12)</f>
        <v>6</v>
      </c>
      <c r="P40">
        <f>ROUND(N40-O40*12,1)</f>
        <v>2</v>
      </c>
      <c r="Q40" t="str">
        <f>O40&amp;"' "&amp;P40&amp;""""</f>
        <v>6' 2"</v>
      </c>
      <c r="R40">
        <f>ROUND(CONVERT(L40,"kg","lbm"),0)</f>
        <v>342</v>
      </c>
      <c r="S40">
        <f t="shared" si="6"/>
        <v>10</v>
      </c>
      <c r="T40">
        <f t="shared" si="6"/>
        <v>25</v>
      </c>
      <c r="U40">
        <f t="shared" si="6"/>
        <v>30</v>
      </c>
      <c r="V40">
        <f>_xlfn.XLOOKUP(A40,'January 2023 Data'!$A$4:$A$49,'January 2023 Data'!$H$4:$H$49,,0)</f>
        <v>187</v>
      </c>
      <c r="W40">
        <f t="shared" si="7"/>
        <v>1</v>
      </c>
      <c r="X40" s="22" t="s">
        <v>224</v>
      </c>
      <c r="Y40" t="str">
        <f t="shared" si="8"/>
        <v>Ryuden, 4-9</v>
      </c>
    </row>
    <row r="41" spans="1:25">
      <c r="A41" s="1" t="s">
        <v>104</v>
      </c>
      <c r="B41" s="1"/>
      <c r="C41" s="1" t="s">
        <v>140</v>
      </c>
      <c r="D41" s="1" t="s">
        <v>142</v>
      </c>
      <c r="E41" s="1" t="s">
        <v>154</v>
      </c>
      <c r="F41" s="1" t="s">
        <v>148</v>
      </c>
      <c r="G41" s="1" t="s">
        <v>145</v>
      </c>
      <c r="H41" s="1" t="s">
        <v>152</v>
      </c>
      <c r="I41" s="1">
        <f>_xlfn.XLOOKUP(H41,'rank lookup'!$A$1:$A$21,'rank lookup'!$B$1:$B$21,,0)</f>
        <v>19</v>
      </c>
      <c r="J41" s="1"/>
      <c r="K41" s="23">
        <v>186</v>
      </c>
      <c r="L41" s="23">
        <v>171</v>
      </c>
      <c r="M41" s="5">
        <f>L41/(K41*K41)*10000</f>
        <v>49.427679500520291</v>
      </c>
      <c r="N41" s="4">
        <f>CONVERT(K41,"cm","in")</f>
        <v>73.228346456692918</v>
      </c>
      <c r="O41">
        <f>_xlfn.FLOOR.MATH(N41/12)</f>
        <v>6</v>
      </c>
      <c r="P41">
        <f>ROUND(N41-O41*12,1)</f>
        <v>1.2</v>
      </c>
      <c r="Q41" t="str">
        <f>O41&amp;"' "&amp;P41&amp;""""</f>
        <v>6' 1.2"</v>
      </c>
      <c r="R41">
        <f>ROUND(CONVERT(L41,"kg","lbm"),0)</f>
        <v>377</v>
      </c>
      <c r="S41">
        <f t="shared" si="6"/>
        <v>15</v>
      </c>
      <c r="T41">
        <f t="shared" si="6"/>
        <v>12</v>
      </c>
      <c r="U41">
        <f t="shared" si="6"/>
        <v>13</v>
      </c>
      <c r="V41">
        <f>_xlfn.XLOOKUP(A41,'January 2023 Data'!$A$4:$A$49,'January 2023 Data'!$H$4:$H$49,,0)</f>
        <v>186</v>
      </c>
      <c r="W41">
        <f t="shared" si="7"/>
        <v>0</v>
      </c>
      <c r="X41" s="22" t="s">
        <v>229</v>
      </c>
      <c r="Y41" t="str">
        <f t="shared" si="8"/>
        <v>Takarafuji, 6-7</v>
      </c>
    </row>
    <row r="42" spans="1:25">
      <c r="A42" s="1" t="s">
        <v>99</v>
      </c>
      <c r="B42" s="1"/>
      <c r="C42" s="1" t="s">
        <v>141</v>
      </c>
      <c r="D42" s="1" t="s">
        <v>135</v>
      </c>
      <c r="E42" s="1" t="s">
        <v>143</v>
      </c>
      <c r="F42" s="1" t="s">
        <v>141</v>
      </c>
      <c r="G42" s="1" t="s">
        <v>136</v>
      </c>
      <c r="H42" s="1" t="s">
        <v>154</v>
      </c>
      <c r="I42" s="1">
        <f>_xlfn.XLOOKUP(H42,'rank lookup'!$A$1:$A$21,'rank lookup'!$B$1:$B$21,,0)</f>
        <v>20</v>
      </c>
      <c r="J42" s="1"/>
      <c r="K42" s="23">
        <v>184</v>
      </c>
      <c r="L42" s="23">
        <v>150</v>
      </c>
      <c r="M42" s="5">
        <f>L42/(K42*K42)*10000</f>
        <v>44.305293005671075</v>
      </c>
      <c r="N42" s="4">
        <f>CONVERT(K42,"cm","in")</f>
        <v>72.440944881889763</v>
      </c>
      <c r="O42">
        <f>_xlfn.FLOOR.MATH(N42/12)</f>
        <v>6</v>
      </c>
      <c r="P42">
        <f>ROUND(N42-O42*12,1)</f>
        <v>0.4</v>
      </c>
      <c r="Q42" t="str">
        <f>O42&amp;"' "&amp;P42&amp;""""</f>
        <v>6' 0.4"</v>
      </c>
      <c r="R42">
        <f>ROUND(CONVERT(L42,"kg","lbm"),0)</f>
        <v>331</v>
      </c>
      <c r="S42">
        <f t="shared" si="6"/>
        <v>21</v>
      </c>
      <c r="T42">
        <f t="shared" si="6"/>
        <v>27</v>
      </c>
      <c r="U42">
        <f t="shared" si="6"/>
        <v>26</v>
      </c>
      <c r="V42">
        <f>_xlfn.XLOOKUP(A42,'January 2023 Data'!$A$4:$A$49,'January 2023 Data'!$H$4:$H$49,,0)</f>
        <v>183</v>
      </c>
      <c r="W42">
        <f t="shared" si="7"/>
        <v>1</v>
      </c>
      <c r="X42" s="22" t="s">
        <v>220</v>
      </c>
      <c r="Y42" t="str">
        <f t="shared" si="8"/>
        <v>Endo, 7-6</v>
      </c>
    </row>
    <row r="43" spans="1:25">
      <c r="A43" s="1" t="s">
        <v>190</v>
      </c>
      <c r="F43" t="s">
        <v>151</v>
      </c>
      <c r="G43" s="1" t="s">
        <v>170</v>
      </c>
      <c r="H43" s="1" t="s">
        <v>154</v>
      </c>
      <c r="I43" s="1">
        <f>_xlfn.XLOOKUP(H43,'rank lookup'!$A$1:$A$21,'rank lookup'!$B$1:$B$21,,0)</f>
        <v>20</v>
      </c>
      <c r="K43" s="23">
        <v>171</v>
      </c>
      <c r="L43" s="23">
        <v>171</v>
      </c>
      <c r="M43" s="5">
        <f>L43/(K43*K43)*10000</f>
        <v>58.479532163742689</v>
      </c>
      <c r="N43" s="4">
        <f>CONVERT(K43,"cm","in")</f>
        <v>67.322834645669289</v>
      </c>
      <c r="O43">
        <f>_xlfn.FLOOR.MATH(N43/12)</f>
        <v>5</v>
      </c>
      <c r="P43">
        <f>ROUND(N43-O43*12,1)</f>
        <v>7.3</v>
      </c>
      <c r="Q43" t="str">
        <f>O43&amp;"' "&amp;P43&amp;""""</f>
        <v>5' 7.3"</v>
      </c>
      <c r="R43">
        <f>ROUND(CONVERT(L43,"kg","lbm"),0)</f>
        <v>377</v>
      </c>
      <c r="S43">
        <f t="shared" si="6"/>
        <v>38</v>
      </c>
      <c r="T43">
        <f t="shared" si="6"/>
        <v>12</v>
      </c>
      <c r="U43">
        <f t="shared" si="6"/>
        <v>1</v>
      </c>
      <c r="V43" t="e">
        <f>_xlfn.XLOOKUP(A43,'January 2023 Data'!$A$4:$A$49,'January 2023 Data'!$H$4:$H$49,,0)</f>
        <v>#N/A</v>
      </c>
      <c r="W43" t="e">
        <f t="shared" si="7"/>
        <v>#N/A</v>
      </c>
      <c r="X43" s="22" t="s">
        <v>225</v>
      </c>
      <c r="Y43" t="str">
        <f t="shared" si="8"/>
        <v>Bushozan, 8-5</v>
      </c>
    </row>
    <row r="44" spans="1:25">
      <c r="A44" s="1" t="s">
        <v>91</v>
      </c>
      <c r="B44" s="1"/>
      <c r="C44" s="1" t="s">
        <v>135</v>
      </c>
      <c r="D44" s="1" t="s">
        <v>145</v>
      </c>
      <c r="E44" s="1" t="s">
        <v>145</v>
      </c>
      <c r="F44" s="1" t="s">
        <v>143</v>
      </c>
      <c r="G44" s="1" t="s">
        <v>148</v>
      </c>
      <c r="H44" s="1" t="s">
        <v>186</v>
      </c>
      <c r="I44" s="1">
        <f>_xlfn.XLOOKUP(H44,'rank lookup'!$A$1:$A$21,'rank lookup'!$B$1:$B$21,,0)</f>
        <v>21</v>
      </c>
      <c r="J44" s="1"/>
      <c r="K44" s="23">
        <v>191</v>
      </c>
      <c r="L44" s="23">
        <v>186</v>
      </c>
      <c r="M44" s="5">
        <f>L44/(K44*K44)*10000</f>
        <v>50.985444477947425</v>
      </c>
      <c r="N44" s="4">
        <f>CONVERT(K44,"cm","in")</f>
        <v>75.196850393700785</v>
      </c>
      <c r="O44">
        <f>_xlfn.FLOOR.MATH(N44/12)</f>
        <v>6</v>
      </c>
      <c r="P44">
        <f>ROUND(N44-O44*12,1)</f>
        <v>3.2</v>
      </c>
      <c r="Q44" t="str">
        <f>O44&amp;"' "&amp;P44&amp;""""</f>
        <v>6' 3.2"</v>
      </c>
      <c r="R44">
        <f>ROUND(CONVERT(L44,"kg","lbm"),0)</f>
        <v>410</v>
      </c>
      <c r="S44">
        <f t="shared" si="6"/>
        <v>4</v>
      </c>
      <c r="T44">
        <f t="shared" si="6"/>
        <v>3</v>
      </c>
      <c r="U44">
        <f t="shared" si="6"/>
        <v>9</v>
      </c>
      <c r="V44">
        <f>_xlfn.XLOOKUP(A44,'January 2023 Data'!$A$4:$A$49,'January 2023 Data'!$H$4:$H$49,,0)</f>
        <v>190</v>
      </c>
      <c r="W44">
        <f t="shared" si="7"/>
        <v>1</v>
      </c>
      <c r="X44" s="22" t="s">
        <v>220</v>
      </c>
      <c r="Y44" t="str">
        <f t="shared" si="8"/>
        <v>Aoiyama, 7-6</v>
      </c>
    </row>
    <row r="45" spans="1:25">
      <c r="A45" s="1" t="s">
        <v>244</v>
      </c>
      <c r="H45" t="s">
        <v>186</v>
      </c>
      <c r="I45" s="1">
        <f>_xlfn.XLOOKUP(H45,'rank lookup'!$A$1:$A$21,'rank lookup'!$B$1:$B$21,,0)</f>
        <v>21</v>
      </c>
      <c r="S45" t="e">
        <f t="shared" si="6"/>
        <v>#N/A</v>
      </c>
      <c r="T45" t="e">
        <f t="shared" si="6"/>
        <v>#N/A</v>
      </c>
      <c r="U45" t="e">
        <f t="shared" si="6"/>
        <v>#N/A</v>
      </c>
      <c r="V45" t="e">
        <f>_xlfn.XLOOKUP(A45,'January 2023 Data'!$A$4:$A$49,'January 2023 Data'!$H$4:$H$49,,0)</f>
        <v>#N/A</v>
      </c>
      <c r="W45" t="e">
        <f t="shared" si="7"/>
        <v>#N/A</v>
      </c>
      <c r="X45" s="22" t="s">
        <v>220</v>
      </c>
      <c r="Y45" t="str">
        <f t="shared" si="8"/>
        <v>Hakuoho, 7-6</v>
      </c>
    </row>
    <row r="46" spans="1:25">
      <c r="A46" s="1" t="s">
        <v>89</v>
      </c>
      <c r="B46" s="1">
        <v>1</v>
      </c>
      <c r="C46" s="1" t="s">
        <v>42</v>
      </c>
      <c r="D46" s="1" t="s">
        <v>136</v>
      </c>
      <c r="E46" s="1" t="s">
        <v>135</v>
      </c>
      <c r="F46" s="1" t="s">
        <v>170</v>
      </c>
      <c r="G46" s="1" t="s">
        <v>150</v>
      </c>
      <c r="H46" s="1" t="s">
        <v>179</v>
      </c>
      <c r="I46" s="1" t="e">
        <f>_xlfn.XLOOKUP(H46,'rank lookup'!$A$1:$A$21,'rank lookup'!$B$1:$B$21,,0)</f>
        <v>#N/A</v>
      </c>
      <c r="J46" s="1"/>
      <c r="K46" s="23">
        <v>191</v>
      </c>
      <c r="L46" s="23">
        <v>219</v>
      </c>
      <c r="M46" s="5">
        <f t="shared" ref="M46:M57" si="10">L46/(K46*K46)*10000</f>
        <v>60.031249143389715</v>
      </c>
      <c r="N46" s="4">
        <f t="shared" ref="N46:N57" si="11">CONVERT(K46,"cm","in")</f>
        <v>75.196850393700785</v>
      </c>
      <c r="O46">
        <f t="shared" ref="O46:O57" si="12">_xlfn.FLOOR.MATH(N46/12)</f>
        <v>6</v>
      </c>
      <c r="P46">
        <f t="shared" ref="P46:P57" si="13">ROUND(N46-O46*12,1)</f>
        <v>3.2</v>
      </c>
      <c r="Q46" t="str">
        <f t="shared" ref="Q46:Q57" si="14">O46&amp;"' "&amp;P46&amp;""""</f>
        <v>6' 3.2"</v>
      </c>
      <c r="R46">
        <f t="shared" ref="R46:R57" si="15">ROUND(CONVERT(L46,"kg","lbm"),0)</f>
        <v>483</v>
      </c>
      <c r="V46">
        <f>_xlfn.XLOOKUP(A46,'January 2023 Data'!$A$4:$A$49,'January 2023 Data'!$H$4:$H$49,,0)</f>
        <v>190</v>
      </c>
      <c r="W46">
        <f>K46-V46</f>
        <v>1</v>
      </c>
      <c r="Y46" t="str">
        <f t="shared" si="8"/>
        <v xml:space="preserve">Ichinojo, </v>
      </c>
    </row>
    <row r="47" spans="1:25">
      <c r="A47" s="1" t="s">
        <v>98</v>
      </c>
      <c r="B47" s="1"/>
      <c r="C47" s="1" t="s">
        <v>150</v>
      </c>
      <c r="D47" s="1" t="s">
        <v>151</v>
      </c>
      <c r="E47" s="1" t="s">
        <v>151</v>
      </c>
      <c r="F47" s="1" t="s">
        <v>142</v>
      </c>
      <c r="G47" s="1" t="s">
        <v>152</v>
      </c>
      <c r="H47" s="1" t="s">
        <v>170</v>
      </c>
      <c r="I47" s="1" t="e">
        <f>_xlfn.XLOOKUP(H47,'rank lookup'!$A$1:$A$21,'rank lookup'!$B$1:$B$21,,0)</f>
        <v>#N/A</v>
      </c>
      <c r="J47" s="1"/>
      <c r="K47" s="23">
        <v>187</v>
      </c>
      <c r="L47" s="23">
        <v>144</v>
      </c>
      <c r="M47" s="5">
        <f t="shared" si="10"/>
        <v>41.179330263948074</v>
      </c>
      <c r="N47" s="4">
        <f t="shared" si="11"/>
        <v>73.622047244094489</v>
      </c>
      <c r="O47">
        <f t="shared" si="12"/>
        <v>6</v>
      </c>
      <c r="P47">
        <f t="shared" si="13"/>
        <v>1.6</v>
      </c>
      <c r="Q47" t="str">
        <f t="shared" si="14"/>
        <v>6' 1.6"</v>
      </c>
      <c r="R47">
        <f t="shared" si="15"/>
        <v>317</v>
      </c>
      <c r="V47">
        <f>_xlfn.XLOOKUP(A47,'January 2023 Data'!$A$4:$A$49,'January 2023 Data'!$H$4:$H$49,,0)</f>
        <v>187</v>
      </c>
      <c r="W47">
        <f t="shared" si="7"/>
        <v>0</v>
      </c>
      <c r="Y47" t="str">
        <f t="shared" si="8"/>
        <v xml:space="preserve">Ichiyamamoto, </v>
      </c>
    </row>
    <row r="48" spans="1:25">
      <c r="A48" t="s">
        <v>153</v>
      </c>
      <c r="C48" s="1" t="s">
        <v>154</v>
      </c>
      <c r="D48" s="1" t="s">
        <v>170</v>
      </c>
      <c r="E48" s="1" t="s">
        <v>152</v>
      </c>
      <c r="F48" s="1" t="s">
        <v>186</v>
      </c>
      <c r="G48" s="1" t="s">
        <v>154</v>
      </c>
      <c r="H48" s="1" t="s">
        <v>192</v>
      </c>
      <c r="I48" s="1" t="e">
        <f>_xlfn.XLOOKUP(H48,'rank lookup'!$A$1:$A$21,'rank lookup'!$B$1:$B$21,,0)</f>
        <v>#N/A</v>
      </c>
      <c r="J48" s="1"/>
      <c r="K48" s="23">
        <v>189</v>
      </c>
      <c r="L48" s="23">
        <v>199</v>
      </c>
      <c r="M48" s="5">
        <f t="shared" si="10"/>
        <v>55.709526608997514</v>
      </c>
      <c r="N48" s="4">
        <f t="shared" si="11"/>
        <v>74.409448818897644</v>
      </c>
      <c r="O48">
        <f t="shared" si="12"/>
        <v>6</v>
      </c>
      <c r="P48">
        <f t="shared" si="13"/>
        <v>2.4</v>
      </c>
      <c r="Q48" t="str">
        <f t="shared" si="14"/>
        <v>6' 2.4"</v>
      </c>
      <c r="R48">
        <f t="shared" si="15"/>
        <v>439</v>
      </c>
      <c r="V48">
        <f>_xlfn.XLOOKUP(A48,'January 2023 Data'!$A$4:$A$49,'January 2023 Data'!$H$4:$H$49,,0)</f>
        <v>190</v>
      </c>
      <c r="W48">
        <f t="shared" si="7"/>
        <v>-1</v>
      </c>
      <c r="Y48" t="str">
        <f t="shared" si="8"/>
        <v xml:space="preserve">Mitoryu, </v>
      </c>
    </row>
    <row r="49" spans="1:25">
      <c r="A49" s="1" t="s">
        <v>167</v>
      </c>
      <c r="D49" t="s">
        <v>152</v>
      </c>
      <c r="E49" t="s">
        <v>148</v>
      </c>
      <c r="F49" t="s">
        <v>148</v>
      </c>
      <c r="G49" s="1" t="s">
        <v>186</v>
      </c>
      <c r="H49" s="1" t="s">
        <v>241</v>
      </c>
      <c r="I49" s="1" t="e">
        <f>_xlfn.XLOOKUP(H49,'rank lookup'!$A$1:$A$21,'rank lookup'!$B$1:$B$21,,0)</f>
        <v>#N/A</v>
      </c>
      <c r="K49" s="23">
        <v>193</v>
      </c>
      <c r="L49" s="23">
        <v>156</v>
      </c>
      <c r="M49" s="5">
        <f t="shared" si="10"/>
        <v>41.880318934736501</v>
      </c>
      <c r="N49" s="4">
        <f t="shared" si="11"/>
        <v>75.984251968503941</v>
      </c>
      <c r="O49">
        <f t="shared" si="12"/>
        <v>6</v>
      </c>
      <c r="P49">
        <f t="shared" si="13"/>
        <v>4</v>
      </c>
      <c r="Q49" t="str">
        <f t="shared" si="14"/>
        <v>6' 4"</v>
      </c>
      <c r="R49">
        <f t="shared" si="15"/>
        <v>344</v>
      </c>
      <c r="V49">
        <f>_xlfn.XLOOKUP(A49,'January 2023 Data'!$A$4:$A$49,'January 2023 Data'!$H$4:$H$49,,0)</f>
        <v>193</v>
      </c>
      <c r="W49">
        <f t="shared" si="7"/>
        <v>0</v>
      </c>
      <c r="Y49" t="str">
        <f t="shared" si="8"/>
        <v xml:space="preserve">Kagayaki, </v>
      </c>
    </row>
    <row r="50" spans="1:25">
      <c r="A50" s="1" t="s">
        <v>166</v>
      </c>
      <c r="D50" t="s">
        <v>151</v>
      </c>
      <c r="E50" s="1" t="s">
        <v>151</v>
      </c>
      <c r="F50" s="1" t="s">
        <v>147</v>
      </c>
      <c r="G50" s="1" t="s">
        <v>192</v>
      </c>
      <c r="H50" s="1" t="s">
        <v>245</v>
      </c>
      <c r="I50" s="1" t="e">
        <f>_xlfn.XLOOKUP(H50,'rank lookup'!$A$1:$A$21,'rank lookup'!$B$1:$B$21,,0)</f>
        <v>#N/A</v>
      </c>
      <c r="J50" s="1"/>
      <c r="K50" s="23">
        <v>192</v>
      </c>
      <c r="L50" s="23">
        <v>159</v>
      </c>
      <c r="M50" s="5">
        <f t="shared" si="10"/>
        <v>43.131510416666671</v>
      </c>
      <c r="N50" s="4">
        <f t="shared" si="11"/>
        <v>75.59055118110237</v>
      </c>
      <c r="O50">
        <f t="shared" si="12"/>
        <v>6</v>
      </c>
      <c r="P50">
        <f t="shared" si="13"/>
        <v>3.6</v>
      </c>
      <c r="Q50" t="str">
        <f t="shared" si="14"/>
        <v>6' 3.6"</v>
      </c>
      <c r="R50">
        <f t="shared" si="15"/>
        <v>351</v>
      </c>
      <c r="V50">
        <f>_xlfn.XLOOKUP(A50,'January 2023 Data'!$A$4:$A$49,'January 2023 Data'!$H$4:$H$49,,0)</f>
        <v>191</v>
      </c>
      <c r="W50">
        <f t="shared" si="7"/>
        <v>1</v>
      </c>
      <c r="Y50" t="str">
        <f t="shared" si="8"/>
        <v xml:space="preserve">Azumaryu, </v>
      </c>
    </row>
    <row r="51" spans="1:25">
      <c r="A51" s="1" t="s">
        <v>87</v>
      </c>
      <c r="B51" s="1">
        <v>1</v>
      </c>
      <c r="C51" s="1" t="s">
        <v>142</v>
      </c>
      <c r="D51" s="1" t="s">
        <v>142</v>
      </c>
      <c r="E51" s="1" t="s">
        <v>147</v>
      </c>
      <c r="F51" s="1" t="s">
        <v>192</v>
      </c>
      <c r="G51" s="1" t="s">
        <v>232</v>
      </c>
      <c r="H51" s="1" t="s">
        <v>179</v>
      </c>
      <c r="I51" s="1" t="e">
        <f>_xlfn.XLOOKUP(H51,'rank lookup'!$A$1:$A$21,'rank lookup'!$B$1:$B$21,,0)</f>
        <v>#N/A</v>
      </c>
      <c r="J51" s="1"/>
      <c r="K51" s="23">
        <v>192</v>
      </c>
      <c r="L51" s="23">
        <v>189</v>
      </c>
      <c r="M51" s="5">
        <f t="shared" si="10"/>
        <v>51.26953125</v>
      </c>
      <c r="N51" s="4">
        <f t="shared" si="11"/>
        <v>75.59055118110237</v>
      </c>
      <c r="O51">
        <f t="shared" si="12"/>
        <v>6</v>
      </c>
      <c r="P51">
        <f t="shared" si="13"/>
        <v>3.6</v>
      </c>
      <c r="Q51" t="str">
        <f t="shared" si="14"/>
        <v>6' 3.6"</v>
      </c>
      <c r="R51">
        <f t="shared" si="15"/>
        <v>417</v>
      </c>
      <c r="V51">
        <f>_xlfn.XLOOKUP(A51,'January 2023 Data'!$A$4:$A$49,'January 2023 Data'!$H$4:$H$49,,0)</f>
        <v>192</v>
      </c>
      <c r="W51">
        <f t="shared" si="7"/>
        <v>0</v>
      </c>
      <c r="Y51" t="str">
        <f t="shared" si="8"/>
        <v xml:space="preserve">Tochinoshin, </v>
      </c>
    </row>
    <row r="52" spans="1:25">
      <c r="A52" s="1" t="s">
        <v>90</v>
      </c>
      <c r="B52" s="1"/>
      <c r="C52" s="1" t="s">
        <v>148</v>
      </c>
      <c r="D52" s="1" t="s">
        <v>150</v>
      </c>
      <c r="E52" s="1" t="s">
        <v>148</v>
      </c>
      <c r="F52" s="1" t="s">
        <v>179</v>
      </c>
      <c r="G52" s="1"/>
      <c r="H52" s="1"/>
      <c r="I52" s="1" t="e">
        <f>_xlfn.XLOOKUP(H52,'rank lookup'!$A$1:$A$21,'rank lookup'!$B$1:$B$21,,0)</f>
        <v>#N/A</v>
      </c>
      <c r="J52" s="1"/>
      <c r="K52" s="23">
        <v>189</v>
      </c>
      <c r="L52" s="23">
        <v>161</v>
      </c>
      <c r="M52" s="5">
        <f t="shared" si="10"/>
        <v>45.071526553008034</v>
      </c>
      <c r="N52" s="4">
        <f t="shared" si="11"/>
        <v>74.409448818897644</v>
      </c>
      <c r="O52">
        <f t="shared" si="12"/>
        <v>6</v>
      </c>
      <c r="P52">
        <f t="shared" si="13"/>
        <v>2.4</v>
      </c>
      <c r="Q52" t="str">
        <f t="shared" si="14"/>
        <v>6' 2.4"</v>
      </c>
      <c r="R52">
        <f t="shared" si="15"/>
        <v>355</v>
      </c>
      <c r="V52">
        <f>_xlfn.XLOOKUP(A52,'January 2023 Data'!$A$4:$A$49,'January 2023 Data'!$H$4:$H$49,,0)</f>
        <v>189</v>
      </c>
      <c r="W52">
        <f t="shared" si="7"/>
        <v>0</v>
      </c>
      <c r="Y52" t="str">
        <f t="shared" si="8"/>
        <v xml:space="preserve">Okinoumi, </v>
      </c>
    </row>
    <row r="53" spans="1:25">
      <c r="A53" t="s">
        <v>119</v>
      </c>
      <c r="E53" s="1" t="s">
        <v>154</v>
      </c>
      <c r="F53" s="1" t="s">
        <v>169</v>
      </c>
      <c r="G53" s="1" t="s">
        <v>180</v>
      </c>
      <c r="H53" s="1" t="s">
        <v>246</v>
      </c>
      <c r="I53" s="1" t="e">
        <f>_xlfn.XLOOKUP(H53,'rank lookup'!$A$1:$A$21,'rank lookup'!$B$1:$B$21,,0)</f>
        <v>#N/A</v>
      </c>
      <c r="J53" s="1"/>
      <c r="K53" s="23">
        <v>178</v>
      </c>
      <c r="L53" s="23">
        <v>166</v>
      </c>
      <c r="M53" s="5">
        <f t="shared" si="10"/>
        <v>52.392374700164119</v>
      </c>
      <c r="N53" s="4">
        <f t="shared" si="11"/>
        <v>70.078740157480311</v>
      </c>
      <c r="O53">
        <f t="shared" si="12"/>
        <v>5</v>
      </c>
      <c r="P53">
        <f t="shared" si="13"/>
        <v>10.1</v>
      </c>
      <c r="Q53" t="str">
        <f t="shared" si="14"/>
        <v>5' 10.1"</v>
      </c>
      <c r="R53">
        <f t="shared" si="15"/>
        <v>366</v>
      </c>
      <c r="V53">
        <f>_xlfn.XLOOKUP(A53,'January 2023 Data'!$A$4:$A$49,'January 2023 Data'!$H$4:$H$49,,0)</f>
        <v>177</v>
      </c>
      <c r="W53">
        <f t="shared" si="7"/>
        <v>1</v>
      </c>
      <c r="Y53" t="str">
        <f t="shared" si="8"/>
        <v xml:space="preserve">Chiyomaru, </v>
      </c>
    </row>
    <row r="54" spans="1:25">
      <c r="A54" s="1" t="s">
        <v>113</v>
      </c>
      <c r="B54" s="1"/>
      <c r="C54" s="1" t="s">
        <v>147</v>
      </c>
      <c r="D54" s="1" t="s">
        <v>148</v>
      </c>
      <c r="E54" s="1" t="s">
        <v>179</v>
      </c>
      <c r="F54" s="1"/>
      <c r="G54" s="1"/>
      <c r="H54" s="1"/>
      <c r="I54" s="1" t="e">
        <f>_xlfn.XLOOKUP(H54,'rank lookup'!$A$1:$A$21,'rank lookup'!$B$1:$B$21,,0)</f>
        <v>#N/A</v>
      </c>
      <c r="J54" s="1"/>
      <c r="K54" s="23">
        <v>181</v>
      </c>
      <c r="L54" s="23">
        <v>189</v>
      </c>
      <c r="M54" s="5">
        <f t="shared" si="10"/>
        <v>57.690546686609082</v>
      </c>
      <c r="N54" s="4">
        <f t="shared" si="11"/>
        <v>71.259842519685037</v>
      </c>
      <c r="O54">
        <f t="shared" si="12"/>
        <v>5</v>
      </c>
      <c r="P54">
        <f t="shared" si="13"/>
        <v>11.3</v>
      </c>
      <c r="Q54" t="str">
        <f t="shared" si="14"/>
        <v>5' 11.3"</v>
      </c>
      <c r="R54">
        <f t="shared" si="15"/>
        <v>417</v>
      </c>
      <c r="Y54" t="str">
        <f t="shared" si="8"/>
        <v xml:space="preserve">Chiyotairyu, </v>
      </c>
    </row>
    <row r="55" spans="1:25">
      <c r="A55" s="1" t="s">
        <v>168</v>
      </c>
      <c r="D55" t="s">
        <v>152</v>
      </c>
      <c r="E55" s="1" t="s">
        <v>170</v>
      </c>
      <c r="F55" s="1" t="s">
        <v>187</v>
      </c>
      <c r="G55" s="1" t="s">
        <v>187</v>
      </c>
      <c r="H55" s="1" t="s">
        <v>241</v>
      </c>
      <c r="I55" s="1" t="e">
        <f>_xlfn.XLOOKUP(H55,'rank lookup'!$A$1:$A$21,'rank lookup'!$B$1:$B$21,,0)</f>
        <v>#N/A</v>
      </c>
      <c r="K55" s="23">
        <v>185</v>
      </c>
      <c r="L55" s="23">
        <v>174</v>
      </c>
      <c r="M55" s="5">
        <f t="shared" si="10"/>
        <v>50.840029218407601</v>
      </c>
      <c r="N55" s="4">
        <f t="shared" si="11"/>
        <v>72.834645669291348</v>
      </c>
      <c r="O55">
        <f t="shared" si="12"/>
        <v>6</v>
      </c>
      <c r="P55">
        <f t="shared" si="13"/>
        <v>0.8</v>
      </c>
      <c r="Q55" t="str">
        <f t="shared" si="14"/>
        <v>6' 0.8"</v>
      </c>
      <c r="R55">
        <f t="shared" si="15"/>
        <v>384</v>
      </c>
      <c r="Y55" t="str">
        <f t="shared" si="8"/>
        <v xml:space="preserve">Atamifuji, </v>
      </c>
    </row>
    <row r="56" spans="1:25">
      <c r="A56" s="1" t="s">
        <v>126</v>
      </c>
      <c r="B56" s="1"/>
      <c r="C56" s="1" t="s">
        <v>152</v>
      </c>
      <c r="D56" s="1" t="s">
        <v>154</v>
      </c>
      <c r="E56" s="1" t="s">
        <v>180</v>
      </c>
      <c r="F56" s="1" t="s">
        <v>194</v>
      </c>
      <c r="G56" s="1" t="s">
        <v>233</v>
      </c>
      <c r="H56" s="1"/>
      <c r="I56" s="1" t="e">
        <f>_xlfn.XLOOKUP(H56,'rank lookup'!$A$1:$A$21,'rank lookup'!$B$1:$B$21,,0)</f>
        <v>#N/A</v>
      </c>
      <c r="J56" s="1"/>
      <c r="K56" s="23">
        <v>169</v>
      </c>
      <c r="L56" s="23">
        <v>107</v>
      </c>
      <c r="M56" s="5">
        <f t="shared" si="10"/>
        <v>37.463674241098005</v>
      </c>
      <c r="N56" s="4">
        <f t="shared" si="11"/>
        <v>66.535433070866134</v>
      </c>
      <c r="O56">
        <f t="shared" si="12"/>
        <v>5</v>
      </c>
      <c r="P56">
        <f t="shared" si="13"/>
        <v>6.5</v>
      </c>
      <c r="Q56" t="str">
        <f t="shared" si="14"/>
        <v>5' 6.5"</v>
      </c>
      <c r="R56">
        <f t="shared" si="15"/>
        <v>236</v>
      </c>
      <c r="Y56" t="str">
        <f t="shared" si="8"/>
        <v xml:space="preserve">Terutsuyoshi, </v>
      </c>
    </row>
    <row r="57" spans="1:25">
      <c r="A57" s="1" t="s">
        <v>107</v>
      </c>
      <c r="B57" s="1"/>
      <c r="C57" s="1" t="s">
        <v>151</v>
      </c>
      <c r="D57" s="1" t="s">
        <v>169</v>
      </c>
      <c r="E57" s="1" t="s">
        <v>179</v>
      </c>
      <c r="F57" s="1"/>
      <c r="G57" s="1"/>
      <c r="H57" s="1"/>
      <c r="I57" s="1" t="e">
        <f>_xlfn.XLOOKUP(H57,'rank lookup'!$A$1:$A$21,'rank lookup'!$B$1:$B$21,,0)</f>
        <v>#N/A</v>
      </c>
      <c r="J57" s="1"/>
      <c r="K57" s="23">
        <v>185</v>
      </c>
      <c r="L57" s="23">
        <v>181</v>
      </c>
      <c r="M57" s="5">
        <f t="shared" si="10"/>
        <v>52.885317750182615</v>
      </c>
      <c r="N57" s="4">
        <f t="shared" si="11"/>
        <v>72.834645669291348</v>
      </c>
      <c r="O57">
        <f t="shared" si="12"/>
        <v>6</v>
      </c>
      <c r="P57">
        <f t="shared" si="13"/>
        <v>0.8</v>
      </c>
      <c r="Q57" t="str">
        <f t="shared" si="14"/>
        <v>6' 0.8"</v>
      </c>
      <c r="R57">
        <f t="shared" si="15"/>
        <v>399</v>
      </c>
      <c r="Y57" t="str">
        <f t="shared" si="8"/>
        <v xml:space="preserve">Yutakayama, </v>
      </c>
    </row>
  </sheetData>
  <autoFilter ref="A3:R55" xr:uid="{7067DD38-AD06-4250-9520-A2F29B57D9C0}">
    <sortState xmlns:xlrd2="http://schemas.microsoft.com/office/spreadsheetml/2017/richdata2" ref="A4:R57">
      <sortCondition ref="I3:I55"/>
    </sortState>
  </autoFilter>
  <hyperlinks>
    <hyperlink ref="C2" r:id="rId1" xr:uid="{45EC4F3C-0ED0-4FD5-A1B4-9C029D3A8944}"/>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C281A-04EB-414D-95D4-C2F7EC9BB789}">
  <dimension ref="A1:AA53"/>
  <sheetViews>
    <sheetView zoomScale="106" zoomScaleNormal="106" workbookViewId="0">
      <pane xSplit="1" ySplit="3" topLeftCell="F30" activePane="bottomRight" state="frozen"/>
      <selection pane="topRight" activeCell="B1" sqref="B1"/>
      <selection pane="bottomLeft" activeCell="A4" sqref="A4"/>
      <selection pane="bottomRight" activeCell="J38" sqref="J38"/>
    </sheetView>
  </sheetViews>
  <sheetFormatPr defaultRowHeight="14.5"/>
  <cols>
    <col min="1" max="8" width="21.1796875" customWidth="1"/>
    <col min="11" max="11" width="11.26953125" bestFit="1" customWidth="1"/>
    <col min="12" max="12" width="8.7265625" style="4"/>
    <col min="19" max="19" width="9.54296875" customWidth="1"/>
    <col min="23" max="23" width="17.81640625" customWidth="1"/>
  </cols>
  <sheetData>
    <row r="1" spans="1:27">
      <c r="C1" t="s">
        <v>174</v>
      </c>
      <c r="I1" t="s">
        <v>197</v>
      </c>
    </row>
    <row r="2" spans="1:27">
      <c r="C2" s="17" t="s">
        <v>162</v>
      </c>
      <c r="D2" s="17"/>
      <c r="E2" s="17"/>
      <c r="F2" s="17"/>
      <c r="Q2">
        <f>MAX(Q4:Q45)</f>
        <v>41</v>
      </c>
      <c r="R2">
        <f>MAX(R4:R45)</f>
        <v>42</v>
      </c>
      <c r="S2">
        <f>MAX(S4:S45)</f>
        <v>42</v>
      </c>
    </row>
    <row r="3" spans="1:27">
      <c r="A3" t="s">
        <v>3</v>
      </c>
      <c r="B3" t="s">
        <v>11</v>
      </c>
      <c r="C3" t="s">
        <v>131</v>
      </c>
      <c r="D3" t="s">
        <v>163</v>
      </c>
      <c r="E3" t="s">
        <v>175</v>
      </c>
      <c r="F3" t="s">
        <v>185</v>
      </c>
      <c r="G3" t="s">
        <v>177</v>
      </c>
      <c r="H3" t="s">
        <v>164</v>
      </c>
      <c r="I3" t="s">
        <v>5</v>
      </c>
      <c r="J3" t="s">
        <v>4</v>
      </c>
      <c r="K3" t="s">
        <v>26</v>
      </c>
      <c r="L3" s="4" t="s">
        <v>6</v>
      </c>
      <c r="M3" t="s">
        <v>7</v>
      </c>
      <c r="N3" t="s">
        <v>8</v>
      </c>
      <c r="O3" t="s">
        <v>9</v>
      </c>
      <c r="P3" t="s">
        <v>10</v>
      </c>
      <c r="Q3" t="s">
        <v>171</v>
      </c>
      <c r="R3" t="s">
        <v>172</v>
      </c>
      <c r="S3" t="s">
        <v>173</v>
      </c>
      <c r="T3" t="s">
        <v>216</v>
      </c>
      <c r="U3" s="14" t="s">
        <v>182</v>
      </c>
      <c r="V3" t="s">
        <v>217</v>
      </c>
      <c r="W3" t="s">
        <v>219</v>
      </c>
      <c r="Y3">
        <f>SUM(Y4:Y10)</f>
        <v>38</v>
      </c>
      <c r="Z3">
        <f>Y3-Y5</f>
        <v>21</v>
      </c>
      <c r="AA3">
        <f>Z3/Y3</f>
        <v>0.55263157894736847</v>
      </c>
    </row>
    <row r="4" spans="1:27">
      <c r="A4" s="1" t="s">
        <v>86</v>
      </c>
      <c r="B4" s="1">
        <v>7</v>
      </c>
      <c r="C4" s="1" t="s">
        <v>14</v>
      </c>
      <c r="D4" s="1" t="s">
        <v>14</v>
      </c>
      <c r="E4" s="1" t="s">
        <v>14</v>
      </c>
      <c r="F4" s="1" t="s">
        <v>14</v>
      </c>
      <c r="G4" s="1">
        <f>_xlfn.XLOOKUP(F4,'rank lookup'!$A$1:$A$21,'rank lookup'!$B$1:$B$21,,0)</f>
        <v>1</v>
      </c>
      <c r="H4" s="1"/>
      <c r="I4" s="19">
        <v>192</v>
      </c>
      <c r="J4" s="19">
        <v>180</v>
      </c>
      <c r="K4" s="5">
        <f t="shared" ref="K4:K35" si="0">J4/(I4*I4)*10000</f>
        <v>48.828125</v>
      </c>
      <c r="L4" s="4">
        <f t="shared" ref="L4:L35" si="1">CONVERT(I4,"cm","in")</f>
        <v>75.59055118110237</v>
      </c>
      <c r="M4">
        <f t="shared" ref="M4:M35" si="2">_xlfn.FLOOR.MATH(L4/12)</f>
        <v>6</v>
      </c>
      <c r="N4">
        <f t="shared" ref="N4:N35" si="3">ROUND(L4-M4*12,1)</f>
        <v>3.6</v>
      </c>
      <c r="O4" t="str">
        <f t="shared" ref="O4:O35" si="4">M4&amp;"' "&amp;N4&amp;""""</f>
        <v>6' 3.6"</v>
      </c>
      <c r="P4">
        <f t="shared" ref="P4:P35" si="5">ROUND(CONVERT(J4,"kg","lbm"),0)</f>
        <v>397</v>
      </c>
      <c r="Q4">
        <f>_xlfn.RANK.EQ(I4,I$4:I$45)</f>
        <v>3</v>
      </c>
      <c r="R4">
        <f>_xlfn.RANK.EQ(J4,J$4:J$45)</f>
        <v>5</v>
      </c>
      <c r="S4">
        <f>_xlfn.RANK.EQ(K4,K$4:K$45)</f>
        <v>15</v>
      </c>
      <c r="T4">
        <f>_xlfn.XLOOKUP(A4,'January 2023 Data'!$A$4:$A$49,'January 2023 Data'!$H$4:$H$49,,0)</f>
        <v>192</v>
      </c>
      <c r="U4">
        <f>I4-T4</f>
        <v>0</v>
      </c>
      <c r="V4" t="s">
        <v>218</v>
      </c>
      <c r="W4" t="str">
        <f>A4&amp;", "&amp;V4</f>
        <v>Terunofuji, OUT</v>
      </c>
      <c r="X4" cm="1">
        <f t="array" ref="X4:X10">_xlfn.SEQUENCE(7,1,-1)</f>
        <v>-1</v>
      </c>
      <c r="Y4">
        <f>COUNTIF(U$4:U$45,X4)</f>
        <v>7</v>
      </c>
    </row>
    <row r="5" spans="1:27">
      <c r="A5" s="1" t="s">
        <v>123</v>
      </c>
      <c r="B5" s="1">
        <v>2</v>
      </c>
      <c r="C5" s="1" t="s">
        <v>39</v>
      </c>
      <c r="D5" s="1" t="s">
        <v>39</v>
      </c>
      <c r="E5" s="1" t="s">
        <v>39</v>
      </c>
      <c r="F5" s="1" t="s">
        <v>39</v>
      </c>
      <c r="G5" s="1">
        <f>_xlfn.XLOOKUP(F5,'rank lookup'!$A$1:$A$21,'rank lookup'!$B$1:$B$21,,0)</f>
        <v>2</v>
      </c>
      <c r="H5" s="1"/>
      <c r="I5" s="19">
        <v>175</v>
      </c>
      <c r="J5" s="19">
        <v>165</v>
      </c>
      <c r="K5" s="5">
        <f t="shared" si="0"/>
        <v>53.877551020408163</v>
      </c>
      <c r="L5" s="4">
        <f t="shared" si="1"/>
        <v>68.897637795275585</v>
      </c>
      <c r="M5">
        <f t="shared" si="2"/>
        <v>5</v>
      </c>
      <c r="N5">
        <f t="shared" si="3"/>
        <v>8.9</v>
      </c>
      <c r="O5" t="str">
        <f t="shared" si="4"/>
        <v>5' 8.9"</v>
      </c>
      <c r="P5">
        <f t="shared" si="5"/>
        <v>364</v>
      </c>
      <c r="Q5">
        <f t="shared" ref="Q5:S45" si="6">_xlfn.RANK.EQ(I5,I$4:I$45)</f>
        <v>38</v>
      </c>
      <c r="R5">
        <f t="shared" si="6"/>
        <v>16</v>
      </c>
      <c r="S5">
        <f t="shared" si="6"/>
        <v>5</v>
      </c>
      <c r="T5">
        <f>_xlfn.XLOOKUP(A5,'January 2023 Data'!$A$4:$A$49,'January 2023 Data'!$H$4:$H$49,,0)</f>
        <v>175</v>
      </c>
      <c r="U5">
        <f t="shared" ref="U5:U53" si="7">I5-T5</f>
        <v>0</v>
      </c>
      <c r="V5" t="s">
        <v>218</v>
      </c>
      <c r="W5" t="str">
        <f t="shared" ref="W5:W53" si="8">A5&amp;", "&amp;V5</f>
        <v>Takakeisho, OUT</v>
      </c>
      <c r="X5">
        <v>0</v>
      </c>
      <c r="Y5">
        <f t="shared" ref="Y5:Y10" si="9">COUNTIF(U$4:U$45,X5)</f>
        <v>17</v>
      </c>
    </row>
    <row r="6" spans="1:27" ht="25">
      <c r="A6" s="1" t="s">
        <v>114</v>
      </c>
      <c r="B6" s="1"/>
      <c r="C6" s="1" t="s">
        <v>31</v>
      </c>
      <c r="D6" s="1" t="s">
        <v>31</v>
      </c>
      <c r="E6" s="1" t="s">
        <v>31</v>
      </c>
      <c r="F6" s="1" t="s">
        <v>31</v>
      </c>
      <c r="G6" s="1">
        <f>_xlfn.XLOOKUP(F6,'rank lookup'!$A$1:$A$21,'rank lookup'!$B$1:$B$21,,0)</f>
        <v>3</v>
      </c>
      <c r="H6" s="1" t="s">
        <v>196</v>
      </c>
      <c r="I6" s="19">
        <v>182</v>
      </c>
      <c r="J6" s="19">
        <v>132</v>
      </c>
      <c r="K6" s="5">
        <f t="shared" si="0"/>
        <v>39.850259630479414</v>
      </c>
      <c r="L6" s="4">
        <f t="shared" si="1"/>
        <v>71.653543307086608</v>
      </c>
      <c r="M6">
        <f t="shared" si="2"/>
        <v>5</v>
      </c>
      <c r="N6">
        <f t="shared" si="3"/>
        <v>11.7</v>
      </c>
      <c r="O6" t="str">
        <f t="shared" si="4"/>
        <v>5' 11.7"</v>
      </c>
      <c r="P6">
        <f t="shared" si="5"/>
        <v>291</v>
      </c>
      <c r="Q6">
        <f t="shared" si="6"/>
        <v>30</v>
      </c>
      <c r="R6">
        <f t="shared" si="6"/>
        <v>40</v>
      </c>
      <c r="S6">
        <f t="shared" si="6"/>
        <v>42</v>
      </c>
      <c r="T6">
        <f>_xlfn.XLOOKUP(A6,'January 2023 Data'!$A$4:$A$49,'January 2023 Data'!$H$4:$H$49,,0)</f>
        <v>183</v>
      </c>
      <c r="U6">
        <f t="shared" si="7"/>
        <v>-1</v>
      </c>
      <c r="V6" s="21" t="s">
        <v>220</v>
      </c>
      <c r="W6" t="str">
        <f t="shared" si="8"/>
        <v>Wakatakakage, 7-6</v>
      </c>
      <c r="X6">
        <v>1</v>
      </c>
      <c r="Y6">
        <f t="shared" si="9"/>
        <v>11</v>
      </c>
    </row>
    <row r="7" spans="1:27" ht="25">
      <c r="A7" s="1" t="s">
        <v>95</v>
      </c>
      <c r="B7" s="1"/>
      <c r="C7" s="1" t="s">
        <v>31</v>
      </c>
      <c r="D7" s="1" t="s">
        <v>31</v>
      </c>
      <c r="E7" s="1" t="s">
        <v>31</v>
      </c>
      <c r="F7" s="1" t="s">
        <v>31</v>
      </c>
      <c r="G7" s="1">
        <f>_xlfn.XLOOKUP(F7,'rank lookup'!$A$1:$A$21,'rank lookup'!$B$1:$B$21,,0)</f>
        <v>3</v>
      </c>
      <c r="H7" s="1" t="s">
        <v>195</v>
      </c>
      <c r="I7" s="19">
        <v>188</v>
      </c>
      <c r="J7" s="19">
        <v>141</v>
      </c>
      <c r="K7" s="5">
        <f t="shared" si="0"/>
        <v>39.89361702127659</v>
      </c>
      <c r="L7" s="4">
        <f t="shared" si="1"/>
        <v>74.015748031496059</v>
      </c>
      <c r="M7">
        <f t="shared" si="2"/>
        <v>6</v>
      </c>
      <c r="N7">
        <f t="shared" si="3"/>
        <v>2</v>
      </c>
      <c r="O7" t="str">
        <f t="shared" si="4"/>
        <v>6' 2"</v>
      </c>
      <c r="P7">
        <f t="shared" si="5"/>
        <v>311</v>
      </c>
      <c r="Q7">
        <f t="shared" si="6"/>
        <v>12</v>
      </c>
      <c r="R7">
        <f t="shared" si="6"/>
        <v>35</v>
      </c>
      <c r="S7">
        <f t="shared" si="6"/>
        <v>41</v>
      </c>
      <c r="T7">
        <f>_xlfn.XLOOKUP(A7,'January 2023 Data'!$A$4:$A$49,'January 2023 Data'!$H$4:$H$49,,0)</f>
        <v>185</v>
      </c>
      <c r="U7">
        <f t="shared" si="7"/>
        <v>3</v>
      </c>
      <c r="V7" s="22" t="s">
        <v>221</v>
      </c>
      <c r="W7" t="str">
        <f t="shared" si="8"/>
        <v>Hoshoryu, 9-4</v>
      </c>
      <c r="X7">
        <v>2</v>
      </c>
      <c r="Y7">
        <f t="shared" si="9"/>
        <v>2</v>
      </c>
    </row>
    <row r="8" spans="1:27">
      <c r="A8" s="1" t="s">
        <v>102</v>
      </c>
      <c r="B8" s="1"/>
      <c r="C8" s="1" t="s">
        <v>42</v>
      </c>
      <c r="D8" s="1" t="s">
        <v>42</v>
      </c>
      <c r="E8" s="1" t="s">
        <v>42</v>
      </c>
      <c r="F8" s="1" t="s">
        <v>31</v>
      </c>
      <c r="G8" s="1">
        <f>_xlfn.XLOOKUP(F8,'rank lookup'!$A$1:$A$21,'rank lookup'!$B$1:$B$21,,0)</f>
        <v>3</v>
      </c>
      <c r="H8" s="1"/>
      <c r="I8" s="19">
        <v>186</v>
      </c>
      <c r="J8" s="19">
        <v>140</v>
      </c>
      <c r="K8" s="5">
        <f t="shared" si="0"/>
        <v>40.467106023817784</v>
      </c>
      <c r="L8" s="4">
        <f t="shared" si="1"/>
        <v>73.228346456692918</v>
      </c>
      <c r="M8">
        <f t="shared" si="2"/>
        <v>6</v>
      </c>
      <c r="N8">
        <f t="shared" si="3"/>
        <v>1.2</v>
      </c>
      <c r="O8" t="str">
        <f t="shared" si="4"/>
        <v>6' 1.2"</v>
      </c>
      <c r="P8">
        <f t="shared" si="5"/>
        <v>309</v>
      </c>
      <c r="Q8">
        <f t="shared" si="6"/>
        <v>18</v>
      </c>
      <c r="R8">
        <f t="shared" si="6"/>
        <v>36</v>
      </c>
      <c r="S8">
        <f t="shared" si="6"/>
        <v>38</v>
      </c>
      <c r="T8">
        <f>_xlfn.XLOOKUP(A8,'January 2023 Data'!$A$4:$A$49,'January 2023 Data'!$H$4:$H$49,,0)</f>
        <v>185</v>
      </c>
      <c r="U8">
        <f t="shared" si="7"/>
        <v>1</v>
      </c>
      <c r="V8" s="22" t="s">
        <v>222</v>
      </c>
      <c r="W8" t="str">
        <f t="shared" si="8"/>
        <v>Kiribayama, 10-3</v>
      </c>
      <c r="X8">
        <v>3</v>
      </c>
      <c r="Y8">
        <f t="shared" si="9"/>
        <v>1</v>
      </c>
    </row>
    <row r="9" spans="1:27">
      <c r="A9" s="1" t="s">
        <v>94</v>
      </c>
      <c r="B9" s="1"/>
      <c r="C9" s="1" t="s">
        <v>136</v>
      </c>
      <c r="D9" s="1" t="s">
        <v>132</v>
      </c>
      <c r="E9" s="1" t="s">
        <v>42</v>
      </c>
      <c r="F9" s="1" t="s">
        <v>42</v>
      </c>
      <c r="G9" s="1">
        <f>_xlfn.XLOOKUP(F9,'rank lookup'!$A$1:$A$21,'rank lookup'!$B$1:$B$21,,0)</f>
        <v>4</v>
      </c>
      <c r="H9" s="1"/>
      <c r="I9" s="19">
        <v>189</v>
      </c>
      <c r="J9" s="19">
        <v>172</v>
      </c>
      <c r="K9" s="5">
        <f t="shared" si="0"/>
        <v>48.150947621847095</v>
      </c>
      <c r="L9" s="4">
        <f t="shared" si="1"/>
        <v>74.409448818897644</v>
      </c>
      <c r="M9">
        <f t="shared" si="2"/>
        <v>6</v>
      </c>
      <c r="N9">
        <f t="shared" si="3"/>
        <v>2.4</v>
      </c>
      <c r="O9" t="str">
        <f t="shared" si="4"/>
        <v>6' 2.4"</v>
      </c>
      <c r="P9">
        <f t="shared" si="5"/>
        <v>379</v>
      </c>
      <c r="Q9">
        <f t="shared" si="6"/>
        <v>9</v>
      </c>
      <c r="R9">
        <f t="shared" si="6"/>
        <v>12</v>
      </c>
      <c r="S9">
        <f t="shared" si="6"/>
        <v>17</v>
      </c>
      <c r="T9">
        <f>_xlfn.XLOOKUP(A9,'January 2023 Data'!$A$4:$A$49,'January 2023 Data'!$H$4:$H$49,,0)</f>
        <v>189</v>
      </c>
      <c r="U9">
        <f t="shared" si="7"/>
        <v>0</v>
      </c>
      <c r="V9" s="22" t="s">
        <v>221</v>
      </c>
      <c r="W9" t="str">
        <f t="shared" si="8"/>
        <v>Kotonowaka, 9-4</v>
      </c>
      <c r="X9">
        <v>4</v>
      </c>
      <c r="Y9">
        <f t="shared" si="9"/>
        <v>0</v>
      </c>
    </row>
    <row r="10" spans="1:27" ht="25">
      <c r="A10" s="1" t="s">
        <v>100</v>
      </c>
      <c r="B10" s="1"/>
      <c r="C10" s="1" t="s">
        <v>141</v>
      </c>
      <c r="D10" s="1" t="s">
        <v>139</v>
      </c>
      <c r="E10" s="1" t="s">
        <v>42</v>
      </c>
      <c r="F10" s="1" t="s">
        <v>42</v>
      </c>
      <c r="G10" s="1">
        <f>_xlfn.XLOOKUP(F10,'rank lookup'!$A$1:$A$21,'rank lookup'!$B$1:$B$21,,0)</f>
        <v>4</v>
      </c>
      <c r="H10" s="1" t="s">
        <v>198</v>
      </c>
      <c r="I10" s="19">
        <v>187</v>
      </c>
      <c r="J10" s="19">
        <v>143</v>
      </c>
      <c r="K10" s="5">
        <f t="shared" si="0"/>
        <v>40.893362692670649</v>
      </c>
      <c r="L10" s="4">
        <f t="shared" si="1"/>
        <v>73.622047244094489</v>
      </c>
      <c r="M10">
        <f t="shared" si="2"/>
        <v>6</v>
      </c>
      <c r="N10">
        <f t="shared" si="3"/>
        <v>1.6</v>
      </c>
      <c r="O10" t="str">
        <f t="shared" si="4"/>
        <v>6' 1.6"</v>
      </c>
      <c r="P10">
        <f t="shared" si="5"/>
        <v>315</v>
      </c>
      <c r="Q10">
        <f t="shared" si="6"/>
        <v>16</v>
      </c>
      <c r="R10">
        <f t="shared" si="6"/>
        <v>33</v>
      </c>
      <c r="S10">
        <f t="shared" si="6"/>
        <v>37</v>
      </c>
      <c r="T10">
        <f>_xlfn.XLOOKUP(A10,'January 2023 Data'!$A$4:$A$49,'January 2023 Data'!$H$4:$H$49,,0)</f>
        <v>186</v>
      </c>
      <c r="U10">
        <f t="shared" si="7"/>
        <v>1</v>
      </c>
      <c r="V10" s="22" t="s">
        <v>222</v>
      </c>
      <c r="W10" t="str">
        <f t="shared" si="8"/>
        <v>Wakamotoharu, 10-3</v>
      </c>
      <c r="X10">
        <v>5</v>
      </c>
      <c r="Y10">
        <f t="shared" si="9"/>
        <v>0</v>
      </c>
    </row>
    <row r="11" spans="1:27">
      <c r="A11" s="1" t="s">
        <v>112</v>
      </c>
      <c r="B11" s="1">
        <v>1</v>
      </c>
      <c r="C11" s="1" t="s">
        <v>31</v>
      </c>
      <c r="D11" s="1" t="s">
        <v>42</v>
      </c>
      <c r="E11" s="1" t="s">
        <v>132</v>
      </c>
      <c r="F11" s="1" t="s">
        <v>42</v>
      </c>
      <c r="G11" s="1">
        <f>_xlfn.XLOOKUP(F11,'rank lookup'!$A$1:$A$21,'rank lookup'!$B$1:$B$21,,0)</f>
        <v>4</v>
      </c>
      <c r="H11" s="1"/>
      <c r="I11" s="19">
        <v>182</v>
      </c>
      <c r="J11" s="19">
        <v>165</v>
      </c>
      <c r="K11" s="5">
        <f t="shared" si="0"/>
        <v>49.812824538099264</v>
      </c>
      <c r="L11" s="4">
        <f t="shared" si="1"/>
        <v>71.653543307086608</v>
      </c>
      <c r="M11">
        <f t="shared" si="2"/>
        <v>5</v>
      </c>
      <c r="N11">
        <f t="shared" si="3"/>
        <v>11.7</v>
      </c>
      <c r="O11" t="str">
        <f t="shared" si="4"/>
        <v>5' 11.7"</v>
      </c>
      <c r="P11">
        <f t="shared" si="5"/>
        <v>364</v>
      </c>
      <c r="Q11">
        <f t="shared" si="6"/>
        <v>30</v>
      </c>
      <c r="R11">
        <f t="shared" si="6"/>
        <v>16</v>
      </c>
      <c r="S11">
        <f t="shared" si="6"/>
        <v>11</v>
      </c>
      <c r="T11">
        <f>_xlfn.XLOOKUP(A11,'January 2023 Data'!$A$4:$A$49,'January 2023 Data'!$H$4:$H$49,,0)</f>
        <v>182</v>
      </c>
      <c r="U11">
        <f t="shared" si="7"/>
        <v>0</v>
      </c>
      <c r="V11" s="22" t="s">
        <v>223</v>
      </c>
      <c r="W11" t="str">
        <f t="shared" si="8"/>
        <v>Daieisho, 11-2</v>
      </c>
    </row>
    <row r="12" spans="1:27">
      <c r="A12" s="1" t="s">
        <v>124</v>
      </c>
      <c r="B12" s="1"/>
      <c r="C12" s="1" t="s">
        <v>132</v>
      </c>
      <c r="D12" s="1" t="s">
        <v>42</v>
      </c>
      <c r="E12" s="1" t="s">
        <v>132</v>
      </c>
      <c r="F12" s="1" t="s">
        <v>42</v>
      </c>
      <c r="G12" s="1">
        <f>_xlfn.XLOOKUP(F12,'rank lookup'!$A$1:$A$21,'rank lookup'!$B$1:$B$21,,0)</f>
        <v>4</v>
      </c>
      <c r="H12" s="1"/>
      <c r="I12" s="19">
        <v>174</v>
      </c>
      <c r="J12" s="19">
        <v>133</v>
      </c>
      <c r="K12" s="5">
        <f t="shared" si="0"/>
        <v>43.929184832870916</v>
      </c>
      <c r="L12" s="4">
        <f t="shared" si="1"/>
        <v>68.503937007874015</v>
      </c>
      <c r="M12">
        <f t="shared" si="2"/>
        <v>5</v>
      </c>
      <c r="N12">
        <f t="shared" si="3"/>
        <v>8.5</v>
      </c>
      <c r="O12" t="str">
        <f t="shared" si="4"/>
        <v>5' 8.5"</v>
      </c>
      <c r="P12">
        <f t="shared" si="5"/>
        <v>293</v>
      </c>
      <c r="Q12">
        <f t="shared" si="6"/>
        <v>40</v>
      </c>
      <c r="R12">
        <f t="shared" si="6"/>
        <v>39</v>
      </c>
      <c r="S12">
        <f t="shared" si="6"/>
        <v>28</v>
      </c>
      <c r="T12">
        <f>_xlfn.XLOOKUP(A12,'January 2023 Data'!$A$4:$A$49,'January 2023 Data'!$H$4:$H$49,,0)</f>
        <v>174</v>
      </c>
      <c r="U12">
        <f t="shared" si="7"/>
        <v>0</v>
      </c>
      <c r="V12" s="22" t="s">
        <v>224</v>
      </c>
      <c r="W12" t="str">
        <f t="shared" si="8"/>
        <v>Tobizaru, 4-9</v>
      </c>
    </row>
    <row r="13" spans="1:27" ht="25">
      <c r="A13" s="1" t="s">
        <v>109</v>
      </c>
      <c r="B13" s="1">
        <v>1</v>
      </c>
      <c r="C13" s="1" t="s">
        <v>39</v>
      </c>
      <c r="D13" s="1" t="s">
        <v>39</v>
      </c>
      <c r="E13" s="1" t="s">
        <v>31</v>
      </c>
      <c r="F13" s="1" t="s">
        <v>132</v>
      </c>
      <c r="G13" s="1">
        <f>_xlfn.XLOOKUP(F13,'rank lookup'!$A$1:$A$21,'rank lookup'!$B$1:$B$21,,0)</f>
        <v>5</v>
      </c>
      <c r="H13" s="1" t="s">
        <v>199</v>
      </c>
      <c r="I13" s="19">
        <v>184</v>
      </c>
      <c r="J13" s="19">
        <v>160</v>
      </c>
      <c r="K13" s="5">
        <f t="shared" si="0"/>
        <v>47.258979206049148</v>
      </c>
      <c r="L13" s="4">
        <f t="shared" si="1"/>
        <v>72.440944881889763</v>
      </c>
      <c r="M13">
        <f t="shared" si="2"/>
        <v>6</v>
      </c>
      <c r="N13">
        <f t="shared" si="3"/>
        <v>0.4</v>
      </c>
      <c r="O13" t="str">
        <f t="shared" si="4"/>
        <v>6' 0.4"</v>
      </c>
      <c r="P13">
        <f t="shared" si="5"/>
        <v>353</v>
      </c>
      <c r="Q13">
        <f t="shared" si="6"/>
        <v>24</v>
      </c>
      <c r="R13">
        <f t="shared" si="6"/>
        <v>21</v>
      </c>
      <c r="S13">
        <f t="shared" si="6"/>
        <v>20</v>
      </c>
      <c r="T13">
        <f>_xlfn.XLOOKUP(A13,'January 2023 Data'!$A$4:$A$49,'January 2023 Data'!$H$4:$H$49,,0)</f>
        <v>183</v>
      </c>
      <c r="U13">
        <f t="shared" si="7"/>
        <v>1</v>
      </c>
      <c r="V13" s="22" t="s">
        <v>225</v>
      </c>
      <c r="W13" t="str">
        <f t="shared" si="8"/>
        <v>Shodai, 8-5</v>
      </c>
    </row>
    <row r="14" spans="1:27">
      <c r="A14" s="1" t="s">
        <v>92</v>
      </c>
      <c r="B14" s="1">
        <v>2</v>
      </c>
      <c r="C14" s="1" t="s">
        <v>137</v>
      </c>
      <c r="D14" s="1" t="s">
        <v>42</v>
      </c>
      <c r="E14" s="1" t="s">
        <v>136</v>
      </c>
      <c r="F14" s="1" t="s">
        <v>132</v>
      </c>
      <c r="G14" s="1">
        <f>_xlfn.XLOOKUP(F14,'rank lookup'!$A$1:$A$21,'rank lookup'!$B$1:$B$21,,0)</f>
        <v>5</v>
      </c>
      <c r="H14" s="1"/>
      <c r="I14" s="19">
        <v>189</v>
      </c>
      <c r="J14" s="19">
        <v>174</v>
      </c>
      <c r="K14" s="5">
        <f t="shared" si="0"/>
        <v>48.710842361636011</v>
      </c>
      <c r="L14" s="4">
        <f t="shared" si="1"/>
        <v>74.409448818897644</v>
      </c>
      <c r="M14">
        <f t="shared" si="2"/>
        <v>6</v>
      </c>
      <c r="N14">
        <f t="shared" si="3"/>
        <v>2.4</v>
      </c>
      <c r="O14" t="str">
        <f t="shared" si="4"/>
        <v>6' 2.4"</v>
      </c>
      <c r="P14">
        <f t="shared" si="5"/>
        <v>384</v>
      </c>
      <c r="Q14">
        <f t="shared" si="6"/>
        <v>9</v>
      </c>
      <c r="R14">
        <f t="shared" si="6"/>
        <v>10</v>
      </c>
      <c r="S14">
        <f t="shared" si="6"/>
        <v>16</v>
      </c>
      <c r="T14">
        <f>_xlfn.XLOOKUP(A14,'January 2023 Data'!$A$4:$A$49,'January 2023 Data'!$H$4:$H$49,,0)</f>
        <v>189</v>
      </c>
      <c r="U14">
        <f t="shared" si="7"/>
        <v>0</v>
      </c>
      <c r="V14" s="22" t="s">
        <v>226</v>
      </c>
      <c r="W14" t="str">
        <f t="shared" si="8"/>
        <v>Tamawashi, 3-10</v>
      </c>
    </row>
    <row r="15" spans="1:27" ht="25">
      <c r="A15" s="1" t="s">
        <v>93</v>
      </c>
      <c r="B15" s="1">
        <v>1</v>
      </c>
      <c r="C15" s="1" t="s">
        <v>42</v>
      </c>
      <c r="D15" s="1" t="s">
        <v>143</v>
      </c>
      <c r="E15" s="1" t="s">
        <v>137</v>
      </c>
      <c r="F15" s="1" t="s">
        <v>136</v>
      </c>
      <c r="G15" s="1">
        <f>_xlfn.XLOOKUP(F15,'rank lookup'!$A$1:$A$21,'rank lookup'!$B$1:$B$21,,0)</f>
        <v>6</v>
      </c>
      <c r="H15" s="1" t="s">
        <v>200</v>
      </c>
      <c r="I15" s="19">
        <v>186</v>
      </c>
      <c r="J15" s="19">
        <v>156</v>
      </c>
      <c r="K15" s="5">
        <f t="shared" si="0"/>
        <v>45.091918140825534</v>
      </c>
      <c r="L15" s="4">
        <f t="shared" si="1"/>
        <v>73.228346456692918</v>
      </c>
      <c r="M15">
        <f t="shared" si="2"/>
        <v>6</v>
      </c>
      <c r="N15">
        <f t="shared" si="3"/>
        <v>1.2</v>
      </c>
      <c r="O15" t="str">
        <f t="shared" si="4"/>
        <v>6' 1.2"</v>
      </c>
      <c r="P15">
        <f t="shared" si="5"/>
        <v>344</v>
      </c>
      <c r="Q15">
        <f t="shared" si="6"/>
        <v>18</v>
      </c>
      <c r="R15">
        <f t="shared" si="6"/>
        <v>24</v>
      </c>
      <c r="S15">
        <f t="shared" si="6"/>
        <v>23</v>
      </c>
      <c r="T15">
        <f>_xlfn.XLOOKUP(A15,'January 2023 Data'!$A$4:$A$49,'January 2023 Data'!$H$4:$H$49,,0)</f>
        <v>187</v>
      </c>
      <c r="U15">
        <f t="shared" si="7"/>
        <v>-1</v>
      </c>
      <c r="V15" s="22" t="s">
        <v>225</v>
      </c>
      <c r="W15" t="str">
        <f t="shared" si="8"/>
        <v>Abi, 8-5</v>
      </c>
    </row>
    <row r="16" spans="1:27" ht="25">
      <c r="A16" t="s">
        <v>149</v>
      </c>
      <c r="C16" s="1" t="s">
        <v>148</v>
      </c>
      <c r="D16" s="1" t="s">
        <v>141</v>
      </c>
      <c r="E16" s="1" t="s">
        <v>140</v>
      </c>
      <c r="F16" s="1" t="s">
        <v>136</v>
      </c>
      <c r="G16" s="1">
        <f>_xlfn.XLOOKUP(F16,'rank lookup'!$A$1:$A$21,'rank lookup'!$B$1:$B$21,,0)</f>
        <v>6</v>
      </c>
      <c r="H16" s="1" t="s">
        <v>201</v>
      </c>
      <c r="I16" s="20">
        <v>188</v>
      </c>
      <c r="J16" s="19">
        <v>154</v>
      </c>
      <c r="K16" s="5">
        <f t="shared" si="0"/>
        <v>43.571751923947488</v>
      </c>
      <c r="L16" s="4">
        <f t="shared" si="1"/>
        <v>74.015748031496059</v>
      </c>
      <c r="M16">
        <f t="shared" si="2"/>
        <v>6</v>
      </c>
      <c r="N16">
        <f t="shared" si="3"/>
        <v>2</v>
      </c>
      <c r="O16" t="str">
        <f t="shared" si="4"/>
        <v>6' 2"</v>
      </c>
      <c r="P16">
        <f t="shared" si="5"/>
        <v>340</v>
      </c>
      <c r="Q16">
        <f t="shared" si="6"/>
        <v>12</v>
      </c>
      <c r="R16">
        <f t="shared" si="6"/>
        <v>27</v>
      </c>
      <c r="S16">
        <f t="shared" si="6"/>
        <v>29</v>
      </c>
      <c r="T16">
        <f>_xlfn.XLOOKUP(A16,'January 2023 Data'!$A$4:$A$49,'January 2023 Data'!$H$4:$H$49,,0)</f>
        <v>187</v>
      </c>
      <c r="U16">
        <f t="shared" si="7"/>
        <v>1</v>
      </c>
      <c r="V16" s="22" t="s">
        <v>227</v>
      </c>
      <c r="W16" t="str">
        <f t="shared" si="8"/>
        <v>Ryuden, 8-12</v>
      </c>
    </row>
    <row r="17" spans="1:23">
      <c r="A17" s="1" t="s">
        <v>116</v>
      </c>
      <c r="B17" s="1">
        <v>2</v>
      </c>
      <c r="C17" s="1" t="s">
        <v>39</v>
      </c>
      <c r="D17" s="1" t="s">
        <v>31</v>
      </c>
      <c r="E17" s="1" t="s">
        <v>136</v>
      </c>
      <c r="F17" s="1" t="s">
        <v>137</v>
      </c>
      <c r="G17" s="1">
        <f>_xlfn.XLOOKUP(F17,'rank lookup'!$A$1:$A$21,'rank lookup'!$B$1:$B$21,,0)</f>
        <v>7</v>
      </c>
      <c r="H17" s="1"/>
      <c r="I17" s="19">
        <v>179</v>
      </c>
      <c r="J17" s="19">
        <v>170</v>
      </c>
      <c r="K17" s="5">
        <f t="shared" si="0"/>
        <v>53.057020692238069</v>
      </c>
      <c r="L17" s="4">
        <f t="shared" si="1"/>
        <v>70.472440944881896</v>
      </c>
      <c r="M17">
        <f t="shared" si="2"/>
        <v>5</v>
      </c>
      <c r="N17">
        <f t="shared" si="3"/>
        <v>10.5</v>
      </c>
      <c r="O17" t="str">
        <f t="shared" si="4"/>
        <v>5' 10.5"</v>
      </c>
      <c r="P17">
        <f t="shared" si="5"/>
        <v>375</v>
      </c>
      <c r="Q17">
        <f t="shared" si="6"/>
        <v>34</v>
      </c>
      <c r="R17">
        <f t="shared" si="6"/>
        <v>15</v>
      </c>
      <c r="S17">
        <f t="shared" si="6"/>
        <v>6</v>
      </c>
      <c r="T17">
        <f>_xlfn.XLOOKUP(A17,'January 2023 Data'!$A$4:$A$49,'January 2023 Data'!$H$4:$H$49,,0)</f>
        <v>179</v>
      </c>
      <c r="U17">
        <f t="shared" si="7"/>
        <v>0</v>
      </c>
      <c r="V17" s="22" t="s">
        <v>224</v>
      </c>
      <c r="W17" t="str">
        <f t="shared" si="8"/>
        <v>Mitakeumi, 4-9</v>
      </c>
    </row>
    <row r="18" spans="1:23" ht="25">
      <c r="A18" s="1" t="s">
        <v>138</v>
      </c>
      <c r="C18" s="1" t="s">
        <v>139</v>
      </c>
      <c r="D18" s="1" t="s">
        <v>141</v>
      </c>
      <c r="E18" s="1" t="s">
        <v>140</v>
      </c>
      <c r="F18" s="1" t="s">
        <v>137</v>
      </c>
      <c r="G18" s="1">
        <f>_xlfn.XLOOKUP(F18,'rank lookup'!$A$1:$A$21,'rank lookup'!$B$1:$B$21,,0)</f>
        <v>7</v>
      </c>
      <c r="H18" s="1" t="s">
        <v>202</v>
      </c>
      <c r="I18" s="19">
        <v>185</v>
      </c>
      <c r="J18" s="19">
        <v>176</v>
      </c>
      <c r="K18" s="5">
        <f t="shared" si="0"/>
        <v>51.424397370343314</v>
      </c>
      <c r="L18" s="4">
        <f t="shared" si="1"/>
        <v>72.834645669291348</v>
      </c>
      <c r="M18">
        <f t="shared" si="2"/>
        <v>6</v>
      </c>
      <c r="N18">
        <f t="shared" si="3"/>
        <v>0.8</v>
      </c>
      <c r="O18" t="str">
        <f t="shared" si="4"/>
        <v>6' 0.8"</v>
      </c>
      <c r="P18">
        <f t="shared" si="5"/>
        <v>388</v>
      </c>
      <c r="Q18">
        <f t="shared" si="6"/>
        <v>21</v>
      </c>
      <c r="R18">
        <f t="shared" si="6"/>
        <v>9</v>
      </c>
      <c r="S18">
        <f t="shared" si="6"/>
        <v>9</v>
      </c>
      <c r="T18">
        <f>_xlfn.XLOOKUP(A18,'January 2023 Data'!$A$4:$A$49,'January 2023 Data'!$H$4:$H$49,,0)</f>
        <v>184</v>
      </c>
      <c r="U18">
        <f t="shared" si="7"/>
        <v>1</v>
      </c>
      <c r="V18" s="22" t="s">
        <v>224</v>
      </c>
      <c r="W18" t="str">
        <f t="shared" si="8"/>
        <v>Nishikigi, 4-9</v>
      </c>
    </row>
    <row r="19" spans="1:23">
      <c r="A19" s="1" t="s">
        <v>117</v>
      </c>
      <c r="B19" s="1"/>
      <c r="C19" s="1" t="s">
        <v>136</v>
      </c>
      <c r="D19" s="1" t="s">
        <v>136</v>
      </c>
      <c r="E19" s="1" t="s">
        <v>42</v>
      </c>
      <c r="F19" s="1" t="s">
        <v>139</v>
      </c>
      <c r="G19" s="1">
        <f>_xlfn.XLOOKUP(F19,'rank lookup'!$A$1:$A$21,'rank lookup'!$B$1:$B$21,,0)</f>
        <v>8</v>
      </c>
      <c r="H19" s="1"/>
      <c r="I19" s="19">
        <v>180</v>
      </c>
      <c r="J19" s="19">
        <v>154</v>
      </c>
      <c r="K19" s="5">
        <f t="shared" si="0"/>
        <v>47.530864197530867</v>
      </c>
      <c r="L19" s="4">
        <f t="shared" si="1"/>
        <v>70.866141732283467</v>
      </c>
      <c r="M19">
        <f t="shared" si="2"/>
        <v>5</v>
      </c>
      <c r="N19">
        <f t="shared" si="3"/>
        <v>10.9</v>
      </c>
      <c r="O19" t="str">
        <f t="shared" si="4"/>
        <v>5' 10.9"</v>
      </c>
      <c r="P19">
        <f t="shared" si="5"/>
        <v>340</v>
      </c>
      <c r="Q19">
        <f t="shared" si="6"/>
        <v>33</v>
      </c>
      <c r="R19">
        <f t="shared" si="6"/>
        <v>27</v>
      </c>
      <c r="S19">
        <f t="shared" si="6"/>
        <v>19</v>
      </c>
      <c r="T19">
        <f>_xlfn.XLOOKUP(A19,'January 2023 Data'!$A$4:$A$49,'January 2023 Data'!$H$4:$H$49,,0)</f>
        <v>180</v>
      </c>
      <c r="U19">
        <f t="shared" si="7"/>
        <v>0</v>
      </c>
      <c r="V19" s="22" t="s">
        <v>224</v>
      </c>
      <c r="W19" t="str">
        <f t="shared" si="8"/>
        <v>Meisei, 4-9</v>
      </c>
    </row>
    <row r="20" spans="1:23" ht="25">
      <c r="A20" s="1" t="s">
        <v>120</v>
      </c>
      <c r="B20" s="1"/>
      <c r="C20" s="1" t="s">
        <v>135</v>
      </c>
      <c r="D20" s="1" t="s">
        <v>147</v>
      </c>
      <c r="E20" s="1" t="s">
        <v>142</v>
      </c>
      <c r="F20" s="1" t="s">
        <v>139</v>
      </c>
      <c r="G20" s="1">
        <f>_xlfn.XLOOKUP(F20,'rank lookup'!$A$1:$A$21,'rank lookup'!$B$1:$B$21,,0)</f>
        <v>8</v>
      </c>
      <c r="H20" s="1" t="s">
        <v>203</v>
      </c>
      <c r="I20" s="19">
        <v>177</v>
      </c>
      <c r="J20" s="19">
        <v>164</v>
      </c>
      <c r="K20" s="5">
        <f t="shared" si="0"/>
        <v>52.347665102620574</v>
      </c>
      <c r="L20" s="4">
        <f t="shared" si="1"/>
        <v>69.685039370078741</v>
      </c>
      <c r="M20">
        <f t="shared" si="2"/>
        <v>5</v>
      </c>
      <c r="N20">
        <f t="shared" si="3"/>
        <v>9.6999999999999993</v>
      </c>
      <c r="O20" t="str">
        <f t="shared" si="4"/>
        <v>5' 9.7"</v>
      </c>
      <c r="P20">
        <f t="shared" si="5"/>
        <v>362</v>
      </c>
      <c r="Q20">
        <f t="shared" si="6"/>
        <v>35</v>
      </c>
      <c r="R20">
        <f t="shared" si="6"/>
        <v>19</v>
      </c>
      <c r="S20">
        <f t="shared" si="6"/>
        <v>7</v>
      </c>
      <c r="T20">
        <f>_xlfn.XLOOKUP(A20,'January 2023 Data'!$A$4:$A$49,'January 2023 Data'!$H$4:$H$49,,0)</f>
        <v>178</v>
      </c>
      <c r="U20">
        <f t="shared" si="7"/>
        <v>-1</v>
      </c>
      <c r="V20" t="s">
        <v>218</v>
      </c>
      <c r="W20" t="str">
        <f t="shared" si="8"/>
        <v>Onosho, OUT</v>
      </c>
    </row>
    <row r="21" spans="1:23">
      <c r="A21" s="1" t="s">
        <v>133</v>
      </c>
      <c r="C21" t="s">
        <v>132</v>
      </c>
      <c r="D21" s="1" t="s">
        <v>137</v>
      </c>
      <c r="E21" s="1" t="s">
        <v>137</v>
      </c>
      <c r="F21" s="1" t="s">
        <v>140</v>
      </c>
      <c r="G21" s="1">
        <f>_xlfn.XLOOKUP(F21,'rank lookup'!$A$1:$A$21,'rank lookup'!$B$1:$B$21,,0)</f>
        <v>9</v>
      </c>
      <c r="H21" s="1"/>
      <c r="I21" s="19">
        <v>171</v>
      </c>
      <c r="J21" s="19">
        <v>117</v>
      </c>
      <c r="K21" s="5">
        <f t="shared" si="0"/>
        <v>40.012311480455523</v>
      </c>
      <c r="L21" s="4">
        <f t="shared" si="1"/>
        <v>67.322834645669289</v>
      </c>
      <c r="M21">
        <f t="shared" si="2"/>
        <v>5</v>
      </c>
      <c r="N21">
        <f t="shared" si="3"/>
        <v>7.3</v>
      </c>
      <c r="O21" t="str">
        <f t="shared" si="4"/>
        <v>5' 7.3"</v>
      </c>
      <c r="P21">
        <f t="shared" si="5"/>
        <v>258</v>
      </c>
      <c r="Q21">
        <f t="shared" si="6"/>
        <v>41</v>
      </c>
      <c r="R21">
        <f t="shared" si="6"/>
        <v>42</v>
      </c>
      <c r="S21">
        <f t="shared" si="6"/>
        <v>40</v>
      </c>
      <c r="T21">
        <f>_xlfn.XLOOKUP(A21,'January 2023 Data'!$A$4:$A$49,'January 2023 Data'!$H$4:$H$49,,0)</f>
        <v>171</v>
      </c>
      <c r="U21">
        <f t="shared" si="7"/>
        <v>0</v>
      </c>
      <c r="V21" s="22" t="s">
        <v>222</v>
      </c>
      <c r="W21" t="str">
        <f t="shared" si="8"/>
        <v>Midorifuji, 10-3</v>
      </c>
    </row>
    <row r="22" spans="1:23" ht="25">
      <c r="A22" t="s">
        <v>146</v>
      </c>
      <c r="C22" s="1" t="s">
        <v>147</v>
      </c>
      <c r="D22" s="1" t="s">
        <v>147</v>
      </c>
      <c r="E22" s="1" t="s">
        <v>150</v>
      </c>
      <c r="F22" s="1" t="s">
        <v>140</v>
      </c>
      <c r="G22" s="1">
        <f>_xlfn.XLOOKUP(F22,'rank lookup'!$A$1:$A$21,'rank lookup'!$B$1:$B$21,,0)</f>
        <v>9</v>
      </c>
      <c r="H22" s="1" t="s">
        <v>204</v>
      </c>
      <c r="I22" s="19">
        <v>191</v>
      </c>
      <c r="J22" s="19">
        <v>163</v>
      </c>
      <c r="K22" s="5">
        <f t="shared" si="0"/>
        <v>44.680792741427041</v>
      </c>
      <c r="L22" s="4">
        <f t="shared" si="1"/>
        <v>75.196850393700785</v>
      </c>
      <c r="M22">
        <f t="shared" si="2"/>
        <v>6</v>
      </c>
      <c r="N22">
        <f t="shared" si="3"/>
        <v>3.2</v>
      </c>
      <c r="O22" t="str">
        <f t="shared" si="4"/>
        <v>6' 3.2"</v>
      </c>
      <c r="P22">
        <f t="shared" si="5"/>
        <v>359</v>
      </c>
      <c r="Q22">
        <f t="shared" si="6"/>
        <v>6</v>
      </c>
      <c r="R22">
        <f t="shared" si="6"/>
        <v>20</v>
      </c>
      <c r="S22">
        <f t="shared" si="6"/>
        <v>24</v>
      </c>
      <c r="T22">
        <f>_xlfn.XLOOKUP(A22,'January 2023 Data'!$A$4:$A$49,'January 2023 Data'!$H$4:$H$49,,0)</f>
        <v>189</v>
      </c>
      <c r="U22">
        <f t="shared" si="7"/>
        <v>2</v>
      </c>
      <c r="V22" s="22" t="s">
        <v>228</v>
      </c>
      <c r="W22" t="str">
        <f t="shared" si="8"/>
        <v>Kotoshoho, 5-8</v>
      </c>
    </row>
    <row r="23" spans="1:23">
      <c r="A23" s="1" t="s">
        <v>111</v>
      </c>
      <c r="B23" s="1"/>
      <c r="C23" s="1" t="s">
        <v>140</v>
      </c>
      <c r="D23" s="1" t="s">
        <v>139</v>
      </c>
      <c r="E23" s="1" t="s">
        <v>139</v>
      </c>
      <c r="F23" s="1" t="s">
        <v>141</v>
      </c>
      <c r="G23" s="1">
        <f>_xlfn.XLOOKUP(F23,'rank lookup'!$A$1:$A$21,'rank lookup'!$B$1:$B$21,,0)</f>
        <v>10</v>
      </c>
      <c r="H23" s="1"/>
      <c r="I23" s="19">
        <v>182</v>
      </c>
      <c r="J23" s="19">
        <v>142</v>
      </c>
      <c r="K23" s="5">
        <f t="shared" si="0"/>
        <v>42.869218693394522</v>
      </c>
      <c r="L23" s="4">
        <f t="shared" si="1"/>
        <v>71.653543307086608</v>
      </c>
      <c r="M23">
        <f t="shared" si="2"/>
        <v>5</v>
      </c>
      <c r="N23">
        <f t="shared" si="3"/>
        <v>11.7</v>
      </c>
      <c r="O23" t="str">
        <f t="shared" si="4"/>
        <v>5' 11.7"</v>
      </c>
      <c r="P23">
        <f t="shared" si="5"/>
        <v>313</v>
      </c>
      <c r="Q23">
        <f t="shared" si="6"/>
        <v>30</v>
      </c>
      <c r="R23">
        <f t="shared" si="6"/>
        <v>34</v>
      </c>
      <c r="S23">
        <f t="shared" si="6"/>
        <v>32</v>
      </c>
      <c r="T23">
        <f>_xlfn.XLOOKUP(A23,'January 2023 Data'!$A$4:$A$49,'January 2023 Data'!$H$4:$H$49,,0)</f>
        <v>182</v>
      </c>
      <c r="U23">
        <f t="shared" si="7"/>
        <v>0</v>
      </c>
      <c r="V23" s="22" t="s">
        <v>228</v>
      </c>
      <c r="W23" t="str">
        <f t="shared" si="8"/>
        <v>Sadanoumi, 5-8</v>
      </c>
    </row>
    <row r="24" spans="1:23" ht="25">
      <c r="A24" s="1" t="s">
        <v>99</v>
      </c>
      <c r="B24" s="1"/>
      <c r="C24" s="1" t="s">
        <v>141</v>
      </c>
      <c r="D24" s="1" t="s">
        <v>135</v>
      </c>
      <c r="E24" s="1" t="s">
        <v>143</v>
      </c>
      <c r="F24" s="1" t="s">
        <v>141</v>
      </c>
      <c r="G24" s="1">
        <f>_xlfn.XLOOKUP(F24,'rank lookup'!$A$1:$A$21,'rank lookup'!$B$1:$B$21,,0)</f>
        <v>10</v>
      </c>
      <c r="H24" s="1" t="s">
        <v>205</v>
      </c>
      <c r="I24" s="19">
        <v>184</v>
      </c>
      <c r="J24" s="19">
        <v>150</v>
      </c>
      <c r="K24" s="5">
        <f t="shared" si="0"/>
        <v>44.305293005671075</v>
      </c>
      <c r="L24" s="4">
        <f t="shared" si="1"/>
        <v>72.440944881889763</v>
      </c>
      <c r="M24">
        <f t="shared" si="2"/>
        <v>6</v>
      </c>
      <c r="N24">
        <f t="shared" si="3"/>
        <v>0.4</v>
      </c>
      <c r="O24" t="str">
        <f t="shared" si="4"/>
        <v>6' 0.4"</v>
      </c>
      <c r="P24">
        <f t="shared" si="5"/>
        <v>331</v>
      </c>
      <c r="Q24">
        <f t="shared" si="6"/>
        <v>24</v>
      </c>
      <c r="R24">
        <f t="shared" si="6"/>
        <v>29</v>
      </c>
      <c r="S24">
        <f t="shared" si="6"/>
        <v>25</v>
      </c>
      <c r="T24">
        <f>_xlfn.XLOOKUP(A24,'January 2023 Data'!$A$4:$A$49,'January 2023 Data'!$H$4:$H$49,,0)</f>
        <v>183</v>
      </c>
      <c r="U24">
        <f t="shared" si="7"/>
        <v>1</v>
      </c>
      <c r="V24" s="22" t="s">
        <v>225</v>
      </c>
      <c r="W24" t="str">
        <f t="shared" si="8"/>
        <v>Endo, 8-5</v>
      </c>
    </row>
    <row r="25" spans="1:23" ht="25">
      <c r="A25" s="1" t="s">
        <v>96</v>
      </c>
      <c r="B25" s="1"/>
      <c r="C25" s="1" t="s">
        <v>139</v>
      </c>
      <c r="D25" s="1" t="s">
        <v>132</v>
      </c>
      <c r="E25" s="1" t="s">
        <v>31</v>
      </c>
      <c r="F25" s="1" t="s">
        <v>135</v>
      </c>
      <c r="G25" s="1">
        <f>_xlfn.XLOOKUP(F25,'rank lookup'!$A$1:$A$21,'rank lookup'!$B$1:$B$21,,0)</f>
        <v>11</v>
      </c>
      <c r="H25" s="1" t="s">
        <v>206</v>
      </c>
      <c r="I25" s="19">
        <v>188</v>
      </c>
      <c r="J25" s="19">
        <v>177</v>
      </c>
      <c r="K25" s="5">
        <f t="shared" si="0"/>
        <v>50.079221367134451</v>
      </c>
      <c r="L25" s="4">
        <f t="shared" si="1"/>
        <v>74.015748031496059</v>
      </c>
      <c r="M25">
        <f t="shared" si="2"/>
        <v>6</v>
      </c>
      <c r="N25">
        <f t="shared" si="3"/>
        <v>2</v>
      </c>
      <c r="O25" t="str">
        <f t="shared" si="4"/>
        <v>6' 2"</v>
      </c>
      <c r="P25">
        <f t="shared" si="5"/>
        <v>390</v>
      </c>
      <c r="Q25">
        <f t="shared" si="6"/>
        <v>12</v>
      </c>
      <c r="R25">
        <f t="shared" si="6"/>
        <v>7</v>
      </c>
      <c r="S25">
        <f t="shared" si="6"/>
        <v>10</v>
      </c>
      <c r="T25">
        <f>_xlfn.XLOOKUP(A25,'January 2023 Data'!$A$4:$A$49,'January 2023 Data'!$H$4:$H$49,,0)</f>
        <v>186</v>
      </c>
      <c r="U25">
        <f t="shared" si="7"/>
        <v>2</v>
      </c>
      <c r="V25" s="22" t="s">
        <v>225</v>
      </c>
      <c r="W25" t="str">
        <f t="shared" si="8"/>
        <v>Takayasu, 8-5</v>
      </c>
    </row>
    <row r="26" spans="1:23">
      <c r="A26" s="1" t="s">
        <v>103</v>
      </c>
      <c r="B26" s="1"/>
      <c r="C26" s="1" t="s">
        <v>142</v>
      </c>
      <c r="D26" s="1" t="s">
        <v>140</v>
      </c>
      <c r="E26" s="1" t="s">
        <v>141</v>
      </c>
      <c r="F26" s="1" t="s">
        <v>135</v>
      </c>
      <c r="G26" s="1">
        <f>_xlfn.XLOOKUP(F26,'rank lookup'!$A$1:$A$21,'rank lookup'!$B$1:$B$21,,0)</f>
        <v>11</v>
      </c>
      <c r="H26" s="1"/>
      <c r="I26" s="19">
        <v>184</v>
      </c>
      <c r="J26" s="19">
        <v>159</v>
      </c>
      <c r="K26" s="5">
        <f t="shared" si="0"/>
        <v>46.963610586011342</v>
      </c>
      <c r="L26" s="4">
        <f t="shared" si="1"/>
        <v>72.440944881889763</v>
      </c>
      <c r="M26">
        <f t="shared" si="2"/>
        <v>6</v>
      </c>
      <c r="N26">
        <f t="shared" si="3"/>
        <v>0.4</v>
      </c>
      <c r="O26" t="str">
        <f t="shared" si="4"/>
        <v>6' 0.4"</v>
      </c>
      <c r="P26">
        <f t="shared" si="5"/>
        <v>351</v>
      </c>
      <c r="Q26">
        <f t="shared" si="6"/>
        <v>24</v>
      </c>
      <c r="R26">
        <f t="shared" si="6"/>
        <v>22</v>
      </c>
      <c r="S26">
        <f t="shared" si="6"/>
        <v>22</v>
      </c>
      <c r="T26">
        <f>_xlfn.XLOOKUP(A26,'January 2023 Data'!$A$4:$A$49,'January 2023 Data'!$H$4:$H$49,,0)</f>
        <v>184</v>
      </c>
      <c r="U26">
        <f t="shared" si="7"/>
        <v>0</v>
      </c>
      <c r="V26" s="22" t="s">
        <v>220</v>
      </c>
      <c r="W26" t="str">
        <f t="shared" si="8"/>
        <v>Hokutofuji, 7-6</v>
      </c>
    </row>
    <row r="27" spans="1:23">
      <c r="A27" s="1" t="s">
        <v>121</v>
      </c>
      <c r="B27" s="1"/>
      <c r="C27" s="1" t="s">
        <v>137</v>
      </c>
      <c r="D27" s="1" t="s">
        <v>137</v>
      </c>
      <c r="E27" s="1" t="s">
        <v>135</v>
      </c>
      <c r="F27" s="1" t="s">
        <v>142</v>
      </c>
      <c r="G27" s="1">
        <f>_xlfn.XLOOKUP(F27,'rank lookup'!$A$1:$A$21,'rank lookup'!$B$1:$B$21,,0)</f>
        <v>12</v>
      </c>
      <c r="H27" s="1"/>
      <c r="I27" s="19">
        <v>175</v>
      </c>
      <c r="J27" s="19">
        <v>146</v>
      </c>
      <c r="K27" s="5">
        <f t="shared" si="0"/>
        <v>47.673469387755098</v>
      </c>
      <c r="L27" s="4">
        <f t="shared" si="1"/>
        <v>68.897637795275585</v>
      </c>
      <c r="M27">
        <f t="shared" si="2"/>
        <v>5</v>
      </c>
      <c r="N27">
        <f t="shared" si="3"/>
        <v>8.9</v>
      </c>
      <c r="O27" t="str">
        <f t="shared" si="4"/>
        <v>5' 8.9"</v>
      </c>
      <c r="P27">
        <f t="shared" si="5"/>
        <v>322</v>
      </c>
      <c r="Q27">
        <f t="shared" si="6"/>
        <v>38</v>
      </c>
      <c r="R27">
        <f t="shared" si="6"/>
        <v>31</v>
      </c>
      <c r="S27">
        <f t="shared" si="6"/>
        <v>18</v>
      </c>
      <c r="T27">
        <f>_xlfn.XLOOKUP(A27,'January 2023 Data'!$A$4:$A$49,'January 2023 Data'!$H$4:$H$49,,0)</f>
        <v>175</v>
      </c>
      <c r="U27">
        <f t="shared" si="7"/>
        <v>0</v>
      </c>
      <c r="V27" s="22" t="s">
        <v>220</v>
      </c>
      <c r="W27" t="str">
        <f t="shared" si="8"/>
        <v>Ura, 7-6</v>
      </c>
    </row>
    <row r="28" spans="1:23">
      <c r="A28" s="1" t="s">
        <v>98</v>
      </c>
      <c r="B28" s="1"/>
      <c r="C28" s="1" t="s">
        <v>150</v>
      </c>
      <c r="D28" s="1" t="s">
        <v>151</v>
      </c>
      <c r="E28" s="1" t="s">
        <v>151</v>
      </c>
      <c r="F28" s="1" t="s">
        <v>142</v>
      </c>
      <c r="G28" s="1">
        <f>_xlfn.XLOOKUP(F28,'rank lookup'!$A$1:$A$21,'rank lookup'!$B$1:$B$21,,0)</f>
        <v>12</v>
      </c>
      <c r="H28" s="1"/>
      <c r="I28" s="19">
        <v>187</v>
      </c>
      <c r="J28" s="19">
        <v>146</v>
      </c>
      <c r="K28" s="5">
        <f t="shared" si="0"/>
        <v>41.751265406502903</v>
      </c>
      <c r="L28" s="4">
        <f t="shared" si="1"/>
        <v>73.622047244094489</v>
      </c>
      <c r="M28">
        <f t="shared" si="2"/>
        <v>6</v>
      </c>
      <c r="N28">
        <f t="shared" si="3"/>
        <v>1.6</v>
      </c>
      <c r="O28" t="str">
        <f t="shared" si="4"/>
        <v>6' 1.6"</v>
      </c>
      <c r="P28">
        <f t="shared" si="5"/>
        <v>322</v>
      </c>
      <c r="Q28">
        <f t="shared" si="6"/>
        <v>16</v>
      </c>
      <c r="R28">
        <f t="shared" si="6"/>
        <v>31</v>
      </c>
      <c r="S28">
        <f t="shared" si="6"/>
        <v>35</v>
      </c>
      <c r="T28">
        <f>_xlfn.XLOOKUP(A28,'January 2023 Data'!$A$4:$A$49,'January 2023 Data'!$H$4:$H$49,,0)</f>
        <v>187</v>
      </c>
      <c r="U28">
        <f t="shared" si="7"/>
        <v>0</v>
      </c>
      <c r="V28" s="22" t="s">
        <v>224</v>
      </c>
      <c r="W28" t="str">
        <f t="shared" si="8"/>
        <v>Ichiyamamoto, 4-9</v>
      </c>
    </row>
    <row r="29" spans="1:23" ht="25">
      <c r="A29" s="1" t="s">
        <v>91</v>
      </c>
      <c r="B29" s="1"/>
      <c r="C29" s="1" t="s">
        <v>135</v>
      </c>
      <c r="D29" s="1" t="s">
        <v>145</v>
      </c>
      <c r="E29" s="1" t="s">
        <v>145</v>
      </c>
      <c r="F29" s="1" t="s">
        <v>143</v>
      </c>
      <c r="G29" s="1">
        <f>_xlfn.XLOOKUP(F29,'rank lookup'!$A$1:$A$21,'rank lookup'!$B$1:$B$21,,0)</f>
        <v>13</v>
      </c>
      <c r="H29" s="1" t="s">
        <v>208</v>
      </c>
      <c r="I29" s="19">
        <v>191</v>
      </c>
      <c r="J29" s="19">
        <v>189</v>
      </c>
      <c r="K29" s="5">
        <f t="shared" si="0"/>
        <v>51.80779035662399</v>
      </c>
      <c r="L29" s="4">
        <f t="shared" si="1"/>
        <v>75.196850393700785</v>
      </c>
      <c r="M29">
        <f t="shared" si="2"/>
        <v>6</v>
      </c>
      <c r="N29">
        <f t="shared" si="3"/>
        <v>3.2</v>
      </c>
      <c r="O29" t="str">
        <f t="shared" si="4"/>
        <v>6' 3.2"</v>
      </c>
      <c r="P29">
        <f t="shared" si="5"/>
        <v>417</v>
      </c>
      <c r="Q29">
        <f t="shared" si="6"/>
        <v>6</v>
      </c>
      <c r="R29">
        <f t="shared" si="6"/>
        <v>3</v>
      </c>
      <c r="S29">
        <f t="shared" si="6"/>
        <v>8</v>
      </c>
      <c r="T29">
        <f>_xlfn.XLOOKUP(A29,'January 2023 Data'!$A$4:$A$49,'January 2023 Data'!$H$4:$H$49,,0)</f>
        <v>190</v>
      </c>
      <c r="U29">
        <f t="shared" si="7"/>
        <v>1</v>
      </c>
      <c r="V29" s="22" t="s">
        <v>228</v>
      </c>
      <c r="W29" t="str">
        <f t="shared" si="8"/>
        <v>Aoiyama, 5-8</v>
      </c>
    </row>
    <row r="30" spans="1:23" ht="25">
      <c r="A30" t="s">
        <v>155</v>
      </c>
      <c r="C30" s="1" t="s">
        <v>154</v>
      </c>
      <c r="D30" s="1" t="s">
        <v>154</v>
      </c>
      <c r="E30" s="1" t="s">
        <v>145</v>
      </c>
      <c r="F30" s="1" t="s">
        <v>143</v>
      </c>
      <c r="G30" s="1">
        <f>_xlfn.XLOOKUP(F30,'rank lookup'!$A$1:$A$21,'rank lookup'!$B$1:$B$21,,0)</f>
        <v>13</v>
      </c>
      <c r="H30" s="1" t="s">
        <v>203</v>
      </c>
      <c r="I30" s="19">
        <v>177</v>
      </c>
      <c r="J30" s="19">
        <v>135</v>
      </c>
      <c r="K30" s="5">
        <f t="shared" si="0"/>
        <v>43.091065785693765</v>
      </c>
      <c r="L30" s="4">
        <f t="shared" si="1"/>
        <v>69.685039370078741</v>
      </c>
      <c r="M30">
        <f t="shared" si="2"/>
        <v>5</v>
      </c>
      <c r="N30">
        <f t="shared" si="3"/>
        <v>9.6999999999999993</v>
      </c>
      <c r="O30" t="str">
        <f t="shared" si="4"/>
        <v>5' 9.7"</v>
      </c>
      <c r="P30">
        <f t="shared" si="5"/>
        <v>298</v>
      </c>
      <c r="Q30">
        <f t="shared" si="6"/>
        <v>35</v>
      </c>
      <c r="R30">
        <f t="shared" si="6"/>
        <v>38</v>
      </c>
      <c r="S30">
        <f t="shared" si="6"/>
        <v>31</v>
      </c>
      <c r="T30">
        <f>_xlfn.XLOOKUP(A30,'January 2023 Data'!$A$4:$A$49,'January 2023 Data'!$H$4:$H$49,,0)</f>
        <v>178</v>
      </c>
      <c r="U30">
        <f t="shared" si="7"/>
        <v>-1</v>
      </c>
      <c r="V30" s="22" t="s">
        <v>229</v>
      </c>
      <c r="W30" t="str">
        <f t="shared" si="8"/>
        <v>Hiradoumi, 6-7</v>
      </c>
    </row>
    <row r="31" spans="1:23">
      <c r="A31" t="s">
        <v>144</v>
      </c>
      <c r="C31" s="1" t="s">
        <v>145</v>
      </c>
      <c r="D31" s="1" t="s">
        <v>140</v>
      </c>
      <c r="E31" s="1" t="s">
        <v>139</v>
      </c>
      <c r="F31" s="1" t="s">
        <v>145</v>
      </c>
      <c r="G31" s="1">
        <f>_xlfn.XLOOKUP(F31,'rank lookup'!$A$1:$A$21,'rank lookup'!$B$1:$B$21,,0)</f>
        <v>14</v>
      </c>
      <c r="H31" s="1"/>
      <c r="I31" s="19">
        <v>184</v>
      </c>
      <c r="J31" s="19">
        <v>150</v>
      </c>
      <c r="K31" s="5">
        <f t="shared" si="0"/>
        <v>44.305293005671075</v>
      </c>
      <c r="L31" s="4">
        <f t="shared" si="1"/>
        <v>72.440944881889763</v>
      </c>
      <c r="M31">
        <f t="shared" si="2"/>
        <v>6</v>
      </c>
      <c r="N31">
        <f t="shared" si="3"/>
        <v>0.4</v>
      </c>
      <c r="O31" t="str">
        <f t="shared" si="4"/>
        <v>6' 0.4"</v>
      </c>
      <c r="P31">
        <f t="shared" si="5"/>
        <v>331</v>
      </c>
      <c r="Q31">
        <f t="shared" si="6"/>
        <v>24</v>
      </c>
      <c r="R31">
        <f t="shared" si="6"/>
        <v>29</v>
      </c>
      <c r="S31">
        <f t="shared" si="6"/>
        <v>25</v>
      </c>
      <c r="T31">
        <f>_xlfn.XLOOKUP(A31,'January 2023 Data'!$A$4:$A$49,'January 2023 Data'!$H$4:$H$49,,0)</f>
        <v>184</v>
      </c>
      <c r="U31">
        <f t="shared" si="7"/>
        <v>0</v>
      </c>
      <c r="V31" s="22" t="s">
        <v>225</v>
      </c>
      <c r="W31" t="str">
        <f t="shared" si="8"/>
        <v>Nishikifuji, 8-5</v>
      </c>
    </row>
    <row r="32" spans="1:23" ht="25">
      <c r="A32" s="1" t="s">
        <v>97</v>
      </c>
      <c r="B32" s="1"/>
      <c r="C32" s="1" t="s">
        <v>143</v>
      </c>
      <c r="D32" s="1" t="s">
        <v>135</v>
      </c>
      <c r="E32" s="1" t="s">
        <v>141</v>
      </c>
      <c r="F32" s="1" t="s">
        <v>145</v>
      </c>
      <c r="G32" s="1">
        <f>_xlfn.XLOOKUP(F32,'rank lookup'!$A$1:$A$21,'rank lookup'!$B$1:$B$21,,0)</f>
        <v>14</v>
      </c>
      <c r="H32" s="1" t="s">
        <v>207</v>
      </c>
      <c r="I32" s="19">
        <v>188</v>
      </c>
      <c r="J32" s="19">
        <v>156</v>
      </c>
      <c r="K32" s="5">
        <f t="shared" si="0"/>
        <v>44.137618832050705</v>
      </c>
      <c r="L32" s="4">
        <f t="shared" si="1"/>
        <v>74.015748031496059</v>
      </c>
      <c r="M32">
        <f t="shared" si="2"/>
        <v>6</v>
      </c>
      <c r="N32">
        <f t="shared" si="3"/>
        <v>2</v>
      </c>
      <c r="O32" t="str">
        <f t="shared" si="4"/>
        <v>6' 2"</v>
      </c>
      <c r="P32">
        <f t="shared" si="5"/>
        <v>344</v>
      </c>
      <c r="Q32">
        <f t="shared" si="6"/>
        <v>12</v>
      </c>
      <c r="R32">
        <f t="shared" si="6"/>
        <v>24</v>
      </c>
      <c r="S32">
        <f t="shared" si="6"/>
        <v>27</v>
      </c>
      <c r="T32">
        <f>_xlfn.XLOOKUP(A32,'January 2023 Data'!$A$4:$A$49,'January 2023 Data'!$H$4:$H$49,,0)</f>
        <v>189</v>
      </c>
      <c r="U32">
        <f t="shared" si="7"/>
        <v>-1</v>
      </c>
      <c r="V32" s="22" t="s">
        <v>228</v>
      </c>
      <c r="W32" t="str">
        <f t="shared" si="8"/>
        <v>Myogiryu, 5-8</v>
      </c>
    </row>
    <row r="33" spans="1:23" ht="25">
      <c r="A33" s="1" t="s">
        <v>101</v>
      </c>
      <c r="B33" s="1"/>
      <c r="C33" s="1" t="s">
        <v>145</v>
      </c>
      <c r="D33" s="1" t="s">
        <v>143</v>
      </c>
      <c r="E33" s="1" t="s">
        <v>143</v>
      </c>
      <c r="F33" s="1" t="s">
        <v>147</v>
      </c>
      <c r="G33" s="1">
        <f>_xlfn.XLOOKUP(F33,'rank lookup'!$A$1:$A$21,'rank lookup'!$B$1:$B$21,,0)</f>
        <v>15</v>
      </c>
      <c r="H33" s="1" t="s">
        <v>209</v>
      </c>
      <c r="I33" s="19">
        <v>183</v>
      </c>
      <c r="J33" s="19">
        <v>165</v>
      </c>
      <c r="K33" s="5">
        <f t="shared" si="0"/>
        <v>49.269909522529787</v>
      </c>
      <c r="L33" s="4">
        <f t="shared" si="1"/>
        <v>72.047244094488192</v>
      </c>
      <c r="M33">
        <f t="shared" si="2"/>
        <v>6</v>
      </c>
      <c r="N33">
        <f t="shared" si="3"/>
        <v>0</v>
      </c>
      <c r="O33" t="str">
        <f t="shared" si="4"/>
        <v>6' 0"</v>
      </c>
      <c r="P33">
        <f t="shared" si="5"/>
        <v>364</v>
      </c>
      <c r="Q33">
        <f t="shared" si="6"/>
        <v>29</v>
      </c>
      <c r="R33">
        <f t="shared" si="6"/>
        <v>16</v>
      </c>
      <c r="S33">
        <f t="shared" si="6"/>
        <v>14</v>
      </c>
      <c r="T33">
        <f>_xlfn.XLOOKUP(A33,'January 2023 Data'!$A$4:$A$49,'January 2023 Data'!$H$4:$H$49,,0)</f>
        <v>184</v>
      </c>
      <c r="U33">
        <f t="shared" si="7"/>
        <v>-1</v>
      </c>
      <c r="V33" s="22" t="s">
        <v>220</v>
      </c>
      <c r="W33" t="str">
        <f t="shared" si="8"/>
        <v>Takanosho, 7-6</v>
      </c>
    </row>
    <row r="34" spans="1:23" ht="25">
      <c r="A34" s="1" t="s">
        <v>166</v>
      </c>
      <c r="D34" t="s">
        <v>151</v>
      </c>
      <c r="E34" s="1" t="s">
        <v>151</v>
      </c>
      <c r="F34" s="1" t="s">
        <v>147</v>
      </c>
      <c r="G34" s="1">
        <f>_xlfn.XLOOKUP(F34,'rank lookup'!$A$1:$A$21,'rank lookup'!$B$1:$B$21,,0)</f>
        <v>15</v>
      </c>
      <c r="H34" s="1" t="s">
        <v>210</v>
      </c>
      <c r="I34" s="19">
        <v>192</v>
      </c>
      <c r="J34" s="19">
        <v>159</v>
      </c>
      <c r="K34" s="5">
        <f t="shared" si="0"/>
        <v>43.131510416666671</v>
      </c>
      <c r="L34" s="4">
        <f t="shared" si="1"/>
        <v>75.59055118110237</v>
      </c>
      <c r="M34">
        <f t="shared" si="2"/>
        <v>6</v>
      </c>
      <c r="N34">
        <f t="shared" si="3"/>
        <v>3.6</v>
      </c>
      <c r="O34" t="str">
        <f t="shared" si="4"/>
        <v>6' 3.6"</v>
      </c>
      <c r="P34">
        <f t="shared" si="5"/>
        <v>351</v>
      </c>
      <c r="Q34">
        <f t="shared" si="6"/>
        <v>3</v>
      </c>
      <c r="R34">
        <f t="shared" si="6"/>
        <v>22</v>
      </c>
      <c r="S34">
        <f t="shared" si="6"/>
        <v>30</v>
      </c>
      <c r="T34">
        <f>_xlfn.XLOOKUP(A34,'January 2023 Data'!$A$4:$A$49,'January 2023 Data'!$H$4:$H$49,,0)</f>
        <v>191</v>
      </c>
      <c r="U34">
        <f t="shared" si="7"/>
        <v>1</v>
      </c>
      <c r="V34" s="22" t="s">
        <v>226</v>
      </c>
      <c r="W34" t="str">
        <f t="shared" si="8"/>
        <v>Azumaryu, 3-10</v>
      </c>
    </row>
    <row r="35" spans="1:23">
      <c r="A35" s="1" t="s">
        <v>167</v>
      </c>
      <c r="D35" t="s">
        <v>152</v>
      </c>
      <c r="E35" t="s">
        <v>148</v>
      </c>
      <c r="F35" t="s">
        <v>148</v>
      </c>
      <c r="G35" s="1">
        <f>_xlfn.XLOOKUP(F35,'rank lookup'!$A$1:$A$21,'rank lookup'!$B$1:$B$21,,0)</f>
        <v>16</v>
      </c>
      <c r="I35" s="19">
        <v>193</v>
      </c>
      <c r="J35" s="19">
        <v>156</v>
      </c>
      <c r="K35" s="5">
        <f t="shared" si="0"/>
        <v>41.880318934736501</v>
      </c>
      <c r="L35" s="4">
        <f t="shared" si="1"/>
        <v>75.984251968503941</v>
      </c>
      <c r="M35">
        <f t="shared" si="2"/>
        <v>6</v>
      </c>
      <c r="N35">
        <f t="shared" si="3"/>
        <v>4</v>
      </c>
      <c r="O35" t="str">
        <f t="shared" si="4"/>
        <v>6' 4"</v>
      </c>
      <c r="P35">
        <f t="shared" si="5"/>
        <v>344</v>
      </c>
      <c r="Q35">
        <f t="shared" si="6"/>
        <v>2</v>
      </c>
      <c r="R35">
        <f t="shared" si="6"/>
        <v>24</v>
      </c>
      <c r="S35">
        <f t="shared" si="6"/>
        <v>34</v>
      </c>
      <c r="T35">
        <f>_xlfn.XLOOKUP(A35,'January 2023 Data'!$A$4:$A$49,'January 2023 Data'!$H$4:$H$49,,0)</f>
        <v>193</v>
      </c>
      <c r="U35">
        <f t="shared" si="7"/>
        <v>0</v>
      </c>
      <c r="V35" s="22" t="s">
        <v>228</v>
      </c>
      <c r="W35" t="str">
        <f t="shared" si="8"/>
        <v>Kagayaki, 5-8</v>
      </c>
    </row>
    <row r="36" spans="1:23">
      <c r="A36" s="1" t="s">
        <v>104</v>
      </c>
      <c r="B36" s="1"/>
      <c r="C36" s="1" t="s">
        <v>140</v>
      </c>
      <c r="D36" s="1" t="s">
        <v>142</v>
      </c>
      <c r="E36" s="1" t="s">
        <v>154</v>
      </c>
      <c r="F36" s="1" t="s">
        <v>148</v>
      </c>
      <c r="G36" s="1">
        <f>_xlfn.XLOOKUP(F36,'rank lookup'!$A$1:$A$21,'rank lookup'!$B$1:$B$21,,0)</f>
        <v>16</v>
      </c>
      <c r="H36" s="1"/>
      <c r="I36" s="19">
        <v>186</v>
      </c>
      <c r="J36" s="19">
        <v>171</v>
      </c>
      <c r="K36" s="5">
        <f t="shared" ref="K36:K53" si="10">J36/(I36*I36)*10000</f>
        <v>49.427679500520291</v>
      </c>
      <c r="L36" s="4">
        <f t="shared" ref="L36:L53" si="11">CONVERT(I36,"cm","in")</f>
        <v>73.228346456692918</v>
      </c>
      <c r="M36">
        <f t="shared" ref="M36:M53" si="12">_xlfn.FLOOR.MATH(L36/12)</f>
        <v>6</v>
      </c>
      <c r="N36">
        <f t="shared" ref="N36:N53" si="13">ROUND(L36-M36*12,1)</f>
        <v>1.2</v>
      </c>
      <c r="O36" t="str">
        <f t="shared" ref="O36:O53" si="14">M36&amp;"' "&amp;N36&amp;""""</f>
        <v>6' 1.2"</v>
      </c>
      <c r="P36">
        <f t="shared" ref="P36:P53" si="15">ROUND(CONVERT(J36,"kg","lbm"),0)</f>
        <v>377</v>
      </c>
      <c r="Q36">
        <f t="shared" si="6"/>
        <v>18</v>
      </c>
      <c r="R36">
        <f t="shared" si="6"/>
        <v>13</v>
      </c>
      <c r="S36">
        <f t="shared" si="6"/>
        <v>12</v>
      </c>
      <c r="T36">
        <f>_xlfn.XLOOKUP(A36,'January 2023 Data'!$A$4:$A$49,'January 2023 Data'!$H$4:$H$49,,0)</f>
        <v>186</v>
      </c>
      <c r="U36">
        <f t="shared" si="7"/>
        <v>0</v>
      </c>
      <c r="V36" s="22" t="s">
        <v>229</v>
      </c>
      <c r="W36" t="str">
        <f t="shared" si="8"/>
        <v>Takarafuji, 6-7</v>
      </c>
    </row>
    <row r="37" spans="1:23">
      <c r="A37" s="1" t="s">
        <v>122</v>
      </c>
      <c r="B37" s="1"/>
      <c r="C37" s="1" t="s">
        <v>143</v>
      </c>
      <c r="D37" s="1" t="s">
        <v>148</v>
      </c>
      <c r="E37" s="1" t="s">
        <v>150</v>
      </c>
      <c r="F37" s="1" t="s">
        <v>150</v>
      </c>
      <c r="G37" s="1">
        <f>_xlfn.XLOOKUP(F37,'rank lookup'!$A$1:$A$21,'rank lookup'!$B$1:$B$21,,0)</f>
        <v>17</v>
      </c>
      <c r="H37" s="1"/>
      <c r="I37" s="19">
        <v>176</v>
      </c>
      <c r="J37" s="19">
        <v>129</v>
      </c>
      <c r="K37" s="5">
        <f t="shared" si="10"/>
        <v>41.645144628099175</v>
      </c>
      <c r="L37" s="4">
        <f t="shared" si="11"/>
        <v>69.29133858267717</v>
      </c>
      <c r="M37">
        <f t="shared" si="12"/>
        <v>5</v>
      </c>
      <c r="N37">
        <f t="shared" si="13"/>
        <v>9.3000000000000007</v>
      </c>
      <c r="O37" t="str">
        <f t="shared" si="14"/>
        <v>5' 9.3"</v>
      </c>
      <c r="P37">
        <f t="shared" si="15"/>
        <v>284</v>
      </c>
      <c r="Q37">
        <f t="shared" si="6"/>
        <v>37</v>
      </c>
      <c r="R37">
        <f t="shared" si="6"/>
        <v>41</v>
      </c>
      <c r="S37">
        <f t="shared" si="6"/>
        <v>36</v>
      </c>
      <c r="T37">
        <f>_xlfn.XLOOKUP(A37,'January 2023 Data'!$A$4:$A$49,'January 2023 Data'!$H$4:$H$49,,0)</f>
        <v>176</v>
      </c>
      <c r="U37">
        <f t="shared" si="7"/>
        <v>0</v>
      </c>
      <c r="V37" s="22" t="s">
        <v>225</v>
      </c>
      <c r="W37" t="str">
        <f t="shared" si="8"/>
        <v>Kotoeko, 8-5</v>
      </c>
    </row>
    <row r="38" spans="1:23">
      <c r="A38" s="1" t="s">
        <v>188</v>
      </c>
      <c r="F38" t="s">
        <v>150</v>
      </c>
      <c r="G38" s="1">
        <f>_xlfn.XLOOKUP(F38,'rank lookup'!$A$1:$A$21,'rank lookup'!$B$1:$B$21,,0)</f>
        <v>17</v>
      </c>
      <c r="I38" s="19">
        <v>185</v>
      </c>
      <c r="J38" s="19">
        <v>189</v>
      </c>
      <c r="K38" s="5">
        <f t="shared" si="10"/>
        <v>55.22279035792549</v>
      </c>
      <c r="L38" s="4">
        <f t="shared" si="11"/>
        <v>72.834645669291348</v>
      </c>
      <c r="M38">
        <f t="shared" si="12"/>
        <v>6</v>
      </c>
      <c r="N38">
        <f t="shared" si="13"/>
        <v>0.8</v>
      </c>
      <c r="O38" t="str">
        <f t="shared" si="14"/>
        <v>6' 0.8"</v>
      </c>
      <c r="P38">
        <f t="shared" si="15"/>
        <v>417</v>
      </c>
      <c r="Q38">
        <f t="shared" si="6"/>
        <v>21</v>
      </c>
      <c r="R38">
        <f t="shared" si="6"/>
        <v>3</v>
      </c>
      <c r="S38">
        <f t="shared" si="6"/>
        <v>3</v>
      </c>
      <c r="T38" t="e">
        <f>_xlfn.XLOOKUP(A38,'January 2023 Data'!$A$4:$A$49,'January 2023 Data'!$H$4:$H$49,,0)</f>
        <v>#N/A</v>
      </c>
      <c r="U38" t="e">
        <f t="shared" si="7"/>
        <v>#N/A</v>
      </c>
      <c r="V38" s="22" t="s">
        <v>225</v>
      </c>
      <c r="W38" t="str">
        <f t="shared" si="8"/>
        <v>Daishoho, 8-5</v>
      </c>
    </row>
    <row r="39" spans="1:23">
      <c r="A39" s="1" t="s">
        <v>189</v>
      </c>
      <c r="F39" t="s">
        <v>151</v>
      </c>
      <c r="G39" s="1">
        <f>_xlfn.XLOOKUP(F39,'rank lookup'!$A$1:$A$21,'rank lookup'!$B$1:$B$21,,0)</f>
        <v>18</v>
      </c>
      <c r="I39" s="19">
        <v>192</v>
      </c>
      <c r="J39" s="19">
        <v>174</v>
      </c>
      <c r="K39" s="5">
        <f t="shared" si="10"/>
        <v>47.200520833333329</v>
      </c>
      <c r="L39" s="4">
        <f t="shared" si="11"/>
        <v>75.59055118110237</v>
      </c>
      <c r="M39">
        <f t="shared" si="12"/>
        <v>6</v>
      </c>
      <c r="N39">
        <f t="shared" si="13"/>
        <v>3.6</v>
      </c>
      <c r="O39" t="str">
        <f t="shared" si="14"/>
        <v>6' 3.6"</v>
      </c>
      <c r="P39">
        <f t="shared" si="15"/>
        <v>384</v>
      </c>
      <c r="Q39">
        <f t="shared" si="6"/>
        <v>3</v>
      </c>
      <c r="R39">
        <f t="shared" si="6"/>
        <v>10</v>
      </c>
      <c r="S39">
        <f t="shared" si="6"/>
        <v>21</v>
      </c>
      <c r="T39" t="e">
        <f>_xlfn.XLOOKUP(A39,'January 2023 Data'!$A$4:$A$49,'January 2023 Data'!$H$4:$H$49,,0)</f>
        <v>#N/A</v>
      </c>
      <c r="U39" t="e">
        <f t="shared" si="7"/>
        <v>#N/A</v>
      </c>
      <c r="V39" s="22" t="s">
        <v>221</v>
      </c>
      <c r="W39" t="str">
        <f t="shared" si="8"/>
        <v>Kinbozan, 9-4</v>
      </c>
    </row>
    <row r="40" spans="1:23">
      <c r="A40" s="1" t="s">
        <v>190</v>
      </c>
      <c r="F40" t="s">
        <v>151</v>
      </c>
      <c r="G40" s="1">
        <f>_xlfn.XLOOKUP(F40,'rank lookup'!$A$1:$A$21,'rank lookup'!$B$1:$B$21,,0)</f>
        <v>18</v>
      </c>
      <c r="I40" s="19">
        <v>171</v>
      </c>
      <c r="J40" s="19">
        <v>171</v>
      </c>
      <c r="K40" s="5">
        <f t="shared" si="10"/>
        <v>58.479532163742689</v>
      </c>
      <c r="L40" s="4">
        <f t="shared" si="11"/>
        <v>67.322834645669289</v>
      </c>
      <c r="M40">
        <f t="shared" si="12"/>
        <v>5</v>
      </c>
      <c r="N40">
        <f t="shared" si="13"/>
        <v>7.3</v>
      </c>
      <c r="O40" t="str">
        <f t="shared" si="14"/>
        <v>5' 7.3"</v>
      </c>
      <c r="P40">
        <f t="shared" si="15"/>
        <v>377</v>
      </c>
      <c r="Q40">
        <f t="shared" si="6"/>
        <v>41</v>
      </c>
      <c r="R40">
        <f t="shared" si="6"/>
        <v>13</v>
      </c>
      <c r="S40">
        <f t="shared" si="6"/>
        <v>1</v>
      </c>
      <c r="T40" t="e">
        <f>_xlfn.XLOOKUP(A40,'January 2023 Data'!$A$4:$A$49,'January 2023 Data'!$H$4:$H$49,,0)</f>
        <v>#N/A</v>
      </c>
      <c r="U40" t="e">
        <f t="shared" si="7"/>
        <v>#N/A</v>
      </c>
      <c r="V40" s="22" t="s">
        <v>224</v>
      </c>
      <c r="W40" t="str">
        <f t="shared" si="8"/>
        <v>Bushozan, 4-9</v>
      </c>
    </row>
    <row r="41" spans="1:23" ht="25">
      <c r="A41" s="1" t="s">
        <v>88</v>
      </c>
      <c r="B41" s="1"/>
      <c r="C41" s="1" t="s">
        <v>150</v>
      </c>
      <c r="D41" s="1" t="s">
        <v>150</v>
      </c>
      <c r="E41" s="1" t="s">
        <v>142</v>
      </c>
      <c r="F41" s="1" t="s">
        <v>152</v>
      </c>
      <c r="G41" s="1">
        <f>_xlfn.XLOOKUP(F41,'rank lookup'!$A$1:$A$21,'rank lookup'!$B$1:$B$21,,0)</f>
        <v>19</v>
      </c>
      <c r="H41" s="1" t="s">
        <v>211</v>
      </c>
      <c r="I41" s="19">
        <v>190</v>
      </c>
      <c r="J41" s="19">
        <v>178</v>
      </c>
      <c r="K41" s="5">
        <f t="shared" si="10"/>
        <v>49.307479224376735</v>
      </c>
      <c r="L41" s="4">
        <f t="shared" si="11"/>
        <v>74.803149606299215</v>
      </c>
      <c r="M41">
        <f t="shared" si="12"/>
        <v>6</v>
      </c>
      <c r="N41">
        <f t="shared" si="13"/>
        <v>2.8</v>
      </c>
      <c r="O41" t="str">
        <f t="shared" si="14"/>
        <v>6' 2.8"</v>
      </c>
      <c r="P41">
        <f t="shared" si="15"/>
        <v>392</v>
      </c>
      <c r="Q41">
        <f t="shared" si="6"/>
        <v>8</v>
      </c>
      <c r="R41">
        <f t="shared" si="6"/>
        <v>6</v>
      </c>
      <c r="S41">
        <f t="shared" si="6"/>
        <v>13</v>
      </c>
      <c r="T41">
        <f>_xlfn.XLOOKUP(A41,'January 2023 Data'!$A$4:$A$49,'January 2023 Data'!$H$4:$H$49,,0)</f>
        <v>189</v>
      </c>
      <c r="U41">
        <f t="shared" si="7"/>
        <v>1</v>
      </c>
      <c r="V41" s="22" t="s">
        <v>229</v>
      </c>
      <c r="W41" t="str">
        <f t="shared" si="8"/>
        <v>Oho, 6-7</v>
      </c>
    </row>
    <row r="42" spans="1:23">
      <c r="A42" s="1" t="s">
        <v>191</v>
      </c>
      <c r="F42" t="s">
        <v>152</v>
      </c>
      <c r="G42" s="1">
        <f>_xlfn.XLOOKUP(F42,'rank lookup'!$A$1:$A$21,'rank lookup'!$B$1:$B$21,,0)</f>
        <v>19</v>
      </c>
      <c r="I42" s="19">
        <v>204</v>
      </c>
      <c r="J42" s="19">
        <v>177</v>
      </c>
      <c r="K42" s="5">
        <f t="shared" si="10"/>
        <v>42.531718569780857</v>
      </c>
      <c r="L42" s="4">
        <f t="shared" si="11"/>
        <v>80.314960629921259</v>
      </c>
      <c r="M42">
        <f t="shared" si="12"/>
        <v>6</v>
      </c>
      <c r="N42">
        <f t="shared" si="13"/>
        <v>8.3000000000000007</v>
      </c>
      <c r="O42" t="str">
        <f t="shared" si="14"/>
        <v>6' 8.3"</v>
      </c>
      <c r="P42">
        <f t="shared" si="15"/>
        <v>390</v>
      </c>
      <c r="Q42">
        <f t="shared" si="6"/>
        <v>1</v>
      </c>
      <c r="R42">
        <f t="shared" si="6"/>
        <v>7</v>
      </c>
      <c r="S42">
        <f t="shared" si="6"/>
        <v>33</v>
      </c>
      <c r="T42" t="e">
        <f>_xlfn.XLOOKUP(A42,'January 2023 Data'!$A$4:$A$49,'January 2023 Data'!$H$4:$H$49,,0)</f>
        <v>#N/A</v>
      </c>
      <c r="U42" t="e">
        <f t="shared" si="7"/>
        <v>#N/A</v>
      </c>
      <c r="V42" s="22" t="s">
        <v>220</v>
      </c>
      <c r="W42" t="str">
        <f t="shared" si="8"/>
        <v>Hokuseiho, 7-6</v>
      </c>
    </row>
    <row r="43" spans="1:23" ht="25">
      <c r="A43" s="1" t="s">
        <v>110</v>
      </c>
      <c r="B43" s="1"/>
      <c r="C43" s="1" t="s">
        <v>151</v>
      </c>
      <c r="D43" s="1" t="s">
        <v>145</v>
      </c>
      <c r="E43" s="1" t="s">
        <v>147</v>
      </c>
      <c r="F43" s="1" t="s">
        <v>154</v>
      </c>
      <c r="G43" s="1">
        <f>_xlfn.XLOOKUP(F43,'rank lookup'!$A$1:$A$21,'rank lookup'!$B$1:$B$21,,0)</f>
        <v>20</v>
      </c>
      <c r="H43" s="1" t="s">
        <v>205</v>
      </c>
      <c r="I43" s="19">
        <v>184</v>
      </c>
      <c r="J43" s="19">
        <v>137</v>
      </c>
      <c r="K43" s="5">
        <f t="shared" si="10"/>
        <v>40.465500945179578</v>
      </c>
      <c r="L43" s="4">
        <f t="shared" si="11"/>
        <v>72.440944881889763</v>
      </c>
      <c r="M43">
        <f t="shared" si="12"/>
        <v>6</v>
      </c>
      <c r="N43">
        <f t="shared" si="13"/>
        <v>0.4</v>
      </c>
      <c r="O43" t="str">
        <f t="shared" si="14"/>
        <v>6' 0.4"</v>
      </c>
      <c r="P43">
        <f t="shared" si="15"/>
        <v>302</v>
      </c>
      <c r="Q43">
        <f t="shared" si="6"/>
        <v>24</v>
      </c>
      <c r="R43">
        <f t="shared" si="6"/>
        <v>37</v>
      </c>
      <c r="S43">
        <f t="shared" si="6"/>
        <v>39</v>
      </c>
      <c r="T43">
        <f>_xlfn.XLOOKUP(A43,'January 2023 Data'!$A$4:$A$49,'January 2023 Data'!$H$4:$H$49,,0)</f>
        <v>183</v>
      </c>
      <c r="U43">
        <f t="shared" si="7"/>
        <v>1</v>
      </c>
      <c r="V43" s="22" t="s">
        <v>225</v>
      </c>
      <c r="W43" t="str">
        <f t="shared" si="8"/>
        <v>Chiyoshoma, 8-5</v>
      </c>
    </row>
    <row r="44" spans="1:23" ht="25">
      <c r="A44" s="1" t="s">
        <v>108</v>
      </c>
      <c r="B44" s="1"/>
      <c r="C44" s="1" t="s">
        <v>152</v>
      </c>
      <c r="D44" s="1" t="s">
        <v>170</v>
      </c>
      <c r="E44" s="1" t="s">
        <v>152</v>
      </c>
      <c r="F44" s="1" t="s">
        <v>154</v>
      </c>
      <c r="G44" s="1">
        <f>_xlfn.XLOOKUP(F44,'rank lookup'!$A$1:$A$21,'rank lookup'!$B$1:$B$21,,0)</f>
        <v>20</v>
      </c>
      <c r="H44" s="1" t="s">
        <v>202</v>
      </c>
      <c r="I44" s="19">
        <v>185</v>
      </c>
      <c r="J44" s="19">
        <v>200</v>
      </c>
      <c r="K44" s="5">
        <f t="shared" si="10"/>
        <v>58.436815193571952</v>
      </c>
      <c r="L44" s="4">
        <f t="shared" si="11"/>
        <v>72.834645669291348</v>
      </c>
      <c r="M44">
        <f t="shared" si="12"/>
        <v>6</v>
      </c>
      <c r="N44">
        <f t="shared" si="13"/>
        <v>0.8</v>
      </c>
      <c r="O44" t="str">
        <f t="shared" si="14"/>
        <v>6' 0.8"</v>
      </c>
      <c r="P44">
        <f t="shared" si="15"/>
        <v>441</v>
      </c>
      <c r="Q44">
        <f t="shared" si="6"/>
        <v>21</v>
      </c>
      <c r="R44">
        <f t="shared" si="6"/>
        <v>1</v>
      </c>
      <c r="S44">
        <f t="shared" si="6"/>
        <v>2</v>
      </c>
      <c r="T44">
        <f>_xlfn.XLOOKUP(A44,'January 2023 Data'!$A$4:$A$49,'January 2023 Data'!$H$4:$H$49,,0)</f>
        <v>184</v>
      </c>
      <c r="U44">
        <f t="shared" si="7"/>
        <v>1</v>
      </c>
      <c r="V44" s="22" t="s">
        <v>220</v>
      </c>
      <c r="W44" t="str">
        <f t="shared" si="8"/>
        <v>Tsurugisho, 7-6</v>
      </c>
    </row>
    <row r="45" spans="1:23" ht="25">
      <c r="A45" t="s">
        <v>153</v>
      </c>
      <c r="C45" s="1" t="s">
        <v>154</v>
      </c>
      <c r="D45" s="1" t="s">
        <v>170</v>
      </c>
      <c r="E45" s="1" t="s">
        <v>152</v>
      </c>
      <c r="F45" s="1" t="s">
        <v>186</v>
      </c>
      <c r="G45" s="1">
        <f>_xlfn.XLOOKUP(F45,'rank lookup'!$A$1:$A$21,'rank lookup'!$B$1:$B$21,,0)</f>
        <v>21</v>
      </c>
      <c r="H45" s="1" t="s">
        <v>212</v>
      </c>
      <c r="I45" s="19">
        <v>189</v>
      </c>
      <c r="J45" s="19">
        <v>194</v>
      </c>
      <c r="K45" s="5">
        <f t="shared" si="10"/>
        <v>54.309789759525202</v>
      </c>
      <c r="L45" s="4">
        <f t="shared" si="11"/>
        <v>74.409448818897644</v>
      </c>
      <c r="M45">
        <f t="shared" si="12"/>
        <v>6</v>
      </c>
      <c r="N45">
        <f t="shared" si="13"/>
        <v>2.4</v>
      </c>
      <c r="O45" t="str">
        <f t="shared" si="14"/>
        <v>6' 2.4"</v>
      </c>
      <c r="P45">
        <f t="shared" si="15"/>
        <v>428</v>
      </c>
      <c r="Q45">
        <f t="shared" si="6"/>
        <v>9</v>
      </c>
      <c r="R45">
        <f t="shared" si="6"/>
        <v>2</v>
      </c>
      <c r="S45">
        <f t="shared" si="6"/>
        <v>4</v>
      </c>
      <c r="T45">
        <f>_xlfn.XLOOKUP(A45,'January 2023 Data'!$A$4:$A$49,'January 2023 Data'!$H$4:$H$49,,0)</f>
        <v>190</v>
      </c>
      <c r="U45">
        <f t="shared" si="7"/>
        <v>-1</v>
      </c>
      <c r="V45" s="22" t="s">
        <v>220</v>
      </c>
      <c r="W45" t="str">
        <f t="shared" si="8"/>
        <v>Mitoryu, 7-6</v>
      </c>
    </row>
    <row r="46" spans="1:23" ht="25">
      <c r="A46" s="1" t="s">
        <v>89</v>
      </c>
      <c r="B46" s="1">
        <v>1</v>
      </c>
      <c r="C46" s="1" t="s">
        <v>42</v>
      </c>
      <c r="D46" s="1" t="s">
        <v>136</v>
      </c>
      <c r="E46" s="1" t="s">
        <v>135</v>
      </c>
      <c r="F46" s="1" t="s">
        <v>170</v>
      </c>
      <c r="G46" s="1" t="e">
        <f>_xlfn.XLOOKUP(F46,'rank lookup'!$A$1:$A$21,'rank lookup'!$B$1:$B$21,,0)</f>
        <v>#N/A</v>
      </c>
      <c r="H46" s="1" t="s">
        <v>208</v>
      </c>
      <c r="I46" s="19">
        <v>191</v>
      </c>
      <c r="J46" s="19">
        <v>219</v>
      </c>
      <c r="K46" s="5">
        <f t="shared" si="10"/>
        <v>60.031249143389715</v>
      </c>
      <c r="L46" s="4">
        <f t="shared" si="11"/>
        <v>75.196850393700785</v>
      </c>
      <c r="M46">
        <f t="shared" si="12"/>
        <v>6</v>
      </c>
      <c r="N46">
        <f t="shared" si="13"/>
        <v>3.2</v>
      </c>
      <c r="O46" t="str">
        <f t="shared" si="14"/>
        <v>6' 3.2"</v>
      </c>
      <c r="P46">
        <f t="shared" si="15"/>
        <v>483</v>
      </c>
      <c r="T46">
        <f>_xlfn.XLOOKUP(A46,'January 2023 Data'!$A$4:$A$49,'January 2023 Data'!$H$4:$H$49,,0)</f>
        <v>190</v>
      </c>
      <c r="U46">
        <f>I46-T46</f>
        <v>1</v>
      </c>
      <c r="W46" t="str">
        <f t="shared" si="8"/>
        <v xml:space="preserve">Ichinojo, </v>
      </c>
    </row>
    <row r="47" spans="1:23">
      <c r="A47" s="1" t="s">
        <v>87</v>
      </c>
      <c r="B47" s="1">
        <v>1</v>
      </c>
      <c r="C47" s="1" t="s">
        <v>142</v>
      </c>
      <c r="D47" s="1" t="s">
        <v>142</v>
      </c>
      <c r="E47" s="1" t="s">
        <v>147</v>
      </c>
      <c r="F47" s="1" t="s">
        <v>192</v>
      </c>
      <c r="G47" s="1" t="e">
        <f>_xlfn.XLOOKUP(F47,'rank lookup'!$A$1:$A$21,'rank lookup'!$B$1:$B$21,,0)</f>
        <v>#N/A</v>
      </c>
      <c r="H47" s="1"/>
      <c r="I47" s="19">
        <v>192</v>
      </c>
      <c r="J47" s="19">
        <v>189</v>
      </c>
      <c r="K47" s="5">
        <f t="shared" si="10"/>
        <v>51.26953125</v>
      </c>
      <c r="L47" s="4">
        <f t="shared" si="11"/>
        <v>75.59055118110237</v>
      </c>
      <c r="M47">
        <f t="shared" si="12"/>
        <v>6</v>
      </c>
      <c r="N47">
        <f t="shared" si="13"/>
        <v>3.6</v>
      </c>
      <c r="O47" t="str">
        <f t="shared" si="14"/>
        <v>6' 3.6"</v>
      </c>
      <c r="P47">
        <f t="shared" si="15"/>
        <v>417</v>
      </c>
      <c r="T47">
        <f>_xlfn.XLOOKUP(A47,'January 2023 Data'!$A$4:$A$49,'January 2023 Data'!$H$4:$H$49,,0)</f>
        <v>192</v>
      </c>
      <c r="U47">
        <f t="shared" si="7"/>
        <v>0</v>
      </c>
      <c r="W47" t="str">
        <f t="shared" si="8"/>
        <v xml:space="preserve">Tochinoshin, </v>
      </c>
    </row>
    <row r="48" spans="1:23">
      <c r="A48" s="1" t="s">
        <v>90</v>
      </c>
      <c r="B48" s="1"/>
      <c r="C48" s="1" t="s">
        <v>148</v>
      </c>
      <c r="D48" s="1" t="s">
        <v>150</v>
      </c>
      <c r="E48" s="1" t="s">
        <v>148</v>
      </c>
      <c r="F48" s="1" t="s">
        <v>179</v>
      </c>
      <c r="G48" s="1" t="e">
        <f>_xlfn.XLOOKUP(F48,'rank lookup'!$A$1:$A$21,'rank lookup'!$B$1:$B$21,,0)</f>
        <v>#N/A</v>
      </c>
      <c r="H48" s="1" t="s">
        <v>193</v>
      </c>
      <c r="I48" s="19">
        <v>189</v>
      </c>
      <c r="J48" s="19">
        <v>161</v>
      </c>
      <c r="K48" s="5">
        <f t="shared" si="10"/>
        <v>45.071526553008034</v>
      </c>
      <c r="L48" s="4">
        <f t="shared" si="11"/>
        <v>74.409448818897644</v>
      </c>
      <c r="M48">
        <f t="shared" si="12"/>
        <v>6</v>
      </c>
      <c r="N48">
        <f t="shared" si="13"/>
        <v>2.4</v>
      </c>
      <c r="O48" t="str">
        <f t="shared" si="14"/>
        <v>6' 2.4"</v>
      </c>
      <c r="P48">
        <f t="shared" si="15"/>
        <v>355</v>
      </c>
      <c r="T48">
        <f>_xlfn.XLOOKUP(A48,'January 2023 Data'!$A$4:$A$49,'January 2023 Data'!$H$4:$H$49,,0)</f>
        <v>189</v>
      </c>
      <c r="U48">
        <f t="shared" si="7"/>
        <v>0</v>
      </c>
      <c r="W48" t="str">
        <f t="shared" si="8"/>
        <v xml:space="preserve">Okinoumi, </v>
      </c>
    </row>
    <row r="49" spans="1:23" ht="25">
      <c r="A49" t="s">
        <v>119</v>
      </c>
      <c r="E49" s="1" t="s">
        <v>154</v>
      </c>
      <c r="F49" s="1" t="s">
        <v>169</v>
      </c>
      <c r="G49" s="1" t="e">
        <f>_xlfn.XLOOKUP(F49,'rank lookup'!$A$1:$A$21,'rank lookup'!$B$1:$B$21,,0)</f>
        <v>#N/A</v>
      </c>
      <c r="H49" s="1" t="s">
        <v>213</v>
      </c>
      <c r="I49" s="19">
        <v>178</v>
      </c>
      <c r="J49" s="19">
        <v>166</v>
      </c>
      <c r="K49" s="5">
        <f t="shared" si="10"/>
        <v>52.392374700164119</v>
      </c>
      <c r="L49" s="4">
        <f t="shared" si="11"/>
        <v>70.078740157480311</v>
      </c>
      <c r="M49">
        <f t="shared" si="12"/>
        <v>5</v>
      </c>
      <c r="N49">
        <f t="shared" si="13"/>
        <v>10.1</v>
      </c>
      <c r="O49" t="str">
        <f t="shared" si="14"/>
        <v>5' 10.1"</v>
      </c>
      <c r="P49">
        <f t="shared" si="15"/>
        <v>366</v>
      </c>
      <c r="T49">
        <f>_xlfn.XLOOKUP(A49,'January 2023 Data'!$A$4:$A$49,'January 2023 Data'!$H$4:$H$49,,0)</f>
        <v>177</v>
      </c>
      <c r="U49">
        <f t="shared" si="7"/>
        <v>1</v>
      </c>
      <c r="W49" t="str">
        <f t="shared" si="8"/>
        <v xml:space="preserve">Chiyomaru, </v>
      </c>
    </row>
    <row r="50" spans="1:23">
      <c r="A50" s="1" t="s">
        <v>113</v>
      </c>
      <c r="B50" s="1"/>
      <c r="C50" s="1" t="s">
        <v>147</v>
      </c>
      <c r="D50" s="1" t="s">
        <v>148</v>
      </c>
      <c r="E50" s="1" t="s">
        <v>179</v>
      </c>
      <c r="F50" s="1"/>
      <c r="G50" s="1" t="e">
        <f>_xlfn.XLOOKUP(F50,'rank lookup'!$A$1:$A$21,'rank lookup'!$B$1:$B$21,,0)</f>
        <v>#N/A</v>
      </c>
      <c r="H50" s="1"/>
      <c r="I50" s="19">
        <v>181</v>
      </c>
      <c r="J50" s="19">
        <v>189</v>
      </c>
      <c r="K50" s="5">
        <f t="shared" si="10"/>
        <v>57.690546686609082</v>
      </c>
      <c r="L50" s="4">
        <f t="shared" si="11"/>
        <v>71.259842519685037</v>
      </c>
      <c r="M50">
        <f t="shared" si="12"/>
        <v>5</v>
      </c>
      <c r="N50">
        <f t="shared" si="13"/>
        <v>11.3</v>
      </c>
      <c r="O50" t="str">
        <f t="shared" si="14"/>
        <v>5' 11.3"</v>
      </c>
      <c r="P50">
        <f t="shared" si="15"/>
        <v>417</v>
      </c>
      <c r="T50">
        <f>_xlfn.XLOOKUP(A50,'January 2023 Data'!$A$4:$A$49,'January 2023 Data'!$H$4:$H$49,,0)</f>
        <v>181</v>
      </c>
      <c r="U50">
        <f t="shared" si="7"/>
        <v>0</v>
      </c>
      <c r="W50" t="str">
        <f t="shared" si="8"/>
        <v xml:space="preserve">Chiyotairyu, </v>
      </c>
    </row>
    <row r="51" spans="1:23">
      <c r="A51" s="1" t="s">
        <v>168</v>
      </c>
      <c r="D51" t="s">
        <v>152</v>
      </c>
      <c r="E51" s="1" t="s">
        <v>170</v>
      </c>
      <c r="F51" s="1" t="s">
        <v>187</v>
      </c>
      <c r="G51" s="1" t="e">
        <f>_xlfn.XLOOKUP(F51,'rank lookup'!$A$1:$A$21,'rank lookup'!$B$1:$B$21,,0)</f>
        <v>#N/A</v>
      </c>
      <c r="I51" s="19">
        <v>185</v>
      </c>
      <c r="J51" s="19">
        <v>174</v>
      </c>
      <c r="K51" s="5">
        <f t="shared" si="10"/>
        <v>50.840029218407601</v>
      </c>
      <c r="L51" s="4">
        <f t="shared" si="11"/>
        <v>72.834645669291348</v>
      </c>
      <c r="M51">
        <f t="shared" si="12"/>
        <v>6</v>
      </c>
      <c r="N51">
        <f t="shared" si="13"/>
        <v>0.8</v>
      </c>
      <c r="O51" t="str">
        <f t="shared" si="14"/>
        <v>6' 0.8"</v>
      </c>
      <c r="P51">
        <f t="shared" si="15"/>
        <v>384</v>
      </c>
      <c r="T51">
        <f>_xlfn.XLOOKUP(A51,'January 2023 Data'!$A$4:$A$49,'January 2023 Data'!$H$4:$H$49,,0)</f>
        <v>185</v>
      </c>
      <c r="U51">
        <f t="shared" si="7"/>
        <v>0</v>
      </c>
      <c r="W51" t="str">
        <f t="shared" si="8"/>
        <v xml:space="preserve">Atamifuji, </v>
      </c>
    </row>
    <row r="52" spans="1:23">
      <c r="A52" s="1" t="s">
        <v>126</v>
      </c>
      <c r="B52" s="1"/>
      <c r="C52" s="1" t="s">
        <v>152</v>
      </c>
      <c r="D52" s="1" t="s">
        <v>154</v>
      </c>
      <c r="E52" s="1" t="s">
        <v>180</v>
      </c>
      <c r="F52" s="1" t="s">
        <v>194</v>
      </c>
      <c r="G52" s="1" t="e">
        <f>_xlfn.XLOOKUP(F52,'rank lookup'!$A$1:$A$21,'rank lookup'!$B$1:$B$21,,0)</f>
        <v>#N/A</v>
      </c>
      <c r="H52" s="1"/>
      <c r="I52" s="19">
        <v>169</v>
      </c>
      <c r="J52" s="19">
        <v>107</v>
      </c>
      <c r="K52" s="5">
        <f t="shared" si="10"/>
        <v>37.463674241098005</v>
      </c>
      <c r="L52" s="4">
        <f t="shared" si="11"/>
        <v>66.535433070866134</v>
      </c>
      <c r="M52">
        <f t="shared" si="12"/>
        <v>5</v>
      </c>
      <c r="N52">
        <f t="shared" si="13"/>
        <v>6.5</v>
      </c>
      <c r="O52" t="str">
        <f t="shared" si="14"/>
        <v>5' 6.5"</v>
      </c>
      <c r="P52">
        <f t="shared" si="15"/>
        <v>236</v>
      </c>
      <c r="T52">
        <f>_xlfn.XLOOKUP(A52,'January 2023 Data'!$A$4:$A$49,'January 2023 Data'!$H$4:$H$49,,0)</f>
        <v>169</v>
      </c>
      <c r="U52">
        <f t="shared" si="7"/>
        <v>0</v>
      </c>
      <c r="W52" t="str">
        <f t="shared" si="8"/>
        <v xml:space="preserve">Terutsuyoshi, </v>
      </c>
    </row>
    <row r="53" spans="1:23">
      <c r="A53" s="1" t="s">
        <v>107</v>
      </c>
      <c r="B53" s="1"/>
      <c r="C53" s="1" t="s">
        <v>151</v>
      </c>
      <c r="D53" s="1" t="s">
        <v>169</v>
      </c>
      <c r="E53" s="1" t="s">
        <v>179</v>
      </c>
      <c r="F53" s="1"/>
      <c r="G53" s="1" t="e">
        <f>_xlfn.XLOOKUP(F53,'rank lookup'!$A$1:$A$21,'rank lookup'!$B$1:$B$21,,0)</f>
        <v>#N/A</v>
      </c>
      <c r="H53" s="1"/>
      <c r="I53" s="19">
        <v>185</v>
      </c>
      <c r="J53" s="19">
        <v>181</v>
      </c>
      <c r="K53" s="5">
        <f t="shared" si="10"/>
        <v>52.885317750182615</v>
      </c>
      <c r="L53" s="4">
        <f t="shared" si="11"/>
        <v>72.834645669291348</v>
      </c>
      <c r="M53">
        <f t="shared" si="12"/>
        <v>6</v>
      </c>
      <c r="N53">
        <f t="shared" si="13"/>
        <v>0.8</v>
      </c>
      <c r="O53" t="str">
        <f t="shared" si="14"/>
        <v>6' 0.8"</v>
      </c>
      <c r="P53">
        <f t="shared" si="15"/>
        <v>399</v>
      </c>
      <c r="T53">
        <f>_xlfn.XLOOKUP(A53,'January 2023 Data'!$A$4:$A$49,'January 2023 Data'!$H$4:$H$49,,0)</f>
        <v>185</v>
      </c>
      <c r="U53">
        <f t="shared" si="7"/>
        <v>0</v>
      </c>
      <c r="W53" t="str">
        <f t="shared" si="8"/>
        <v xml:space="preserve">Yutakayama, </v>
      </c>
    </row>
  </sheetData>
  <autoFilter ref="A3:P38" xr:uid="{7067DD38-AD06-4250-9520-A2F29B57D9C0}">
    <sortState xmlns:xlrd2="http://schemas.microsoft.com/office/spreadsheetml/2017/richdata2" ref="A4:P53">
      <sortCondition ref="G3:G38"/>
    </sortState>
  </autoFilter>
  <hyperlinks>
    <hyperlink ref="C2" r:id="rId1" xr:uid="{987FCF13-1964-45BC-85C8-B147D9B22A9E}"/>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Charts</vt:lpstr>
      </vt:variant>
      <vt:variant>
        <vt:i4>14</vt:i4>
      </vt:variant>
    </vt:vector>
  </HeadingPairs>
  <TitlesOfParts>
    <vt:vector size="27" baseType="lpstr">
      <vt:lpstr>September 2022 Data</vt:lpstr>
      <vt:lpstr>January 2023 Data</vt:lpstr>
      <vt:lpstr>November 2022 Data</vt:lpstr>
      <vt:lpstr>rank lookup</vt:lpstr>
      <vt:lpstr>Jan 2022 Data</vt:lpstr>
      <vt:lpstr>Jan 2022 Graph Prep</vt:lpstr>
      <vt:lpstr>Original Graph Dec 24 2021</vt:lpstr>
      <vt:lpstr>May 2023 Data</vt:lpstr>
      <vt:lpstr>March 2023 Data</vt:lpstr>
      <vt:lpstr>July 2023 Data</vt:lpstr>
      <vt:lpstr>September 2023 OLD DATA</vt:lpstr>
      <vt:lpstr>September 2023 Data</vt:lpstr>
      <vt:lpstr>Documentation Information</vt:lpstr>
      <vt:lpstr>Makuuchi Scatterplot Jan 2022</vt:lpstr>
      <vt:lpstr>BMI Histogram</vt:lpstr>
      <vt:lpstr>Makuuchi Sept 2022</vt:lpstr>
      <vt:lpstr>Makuuchi Nov 2022</vt:lpstr>
      <vt:lpstr>Makuuchi Nov 2022 DISPLAY</vt:lpstr>
      <vt:lpstr>Makuuchi Jan 2023</vt:lpstr>
      <vt:lpstr>Weight change Nov 22 - Jan 23</vt:lpstr>
      <vt:lpstr>Makuuchi March 2023</vt:lpstr>
      <vt:lpstr>Makuuchi May 2023</vt:lpstr>
      <vt:lpstr>Makuuchi July 2023</vt:lpstr>
      <vt:lpstr>Weight change</vt:lpstr>
      <vt:lpstr>Height change</vt:lpstr>
      <vt:lpstr>Makuuchi Sept 2023</vt:lpstr>
      <vt:lpstr>Makuuchi Sept 2023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Mary Pat Campbell</dc:creator>
  <cp:lastModifiedBy>Mary Pat Campbell</cp:lastModifiedBy>
  <dcterms:created xsi:type="dcterms:W3CDTF">2022-01-05T16:28:32Z</dcterms:created>
  <dcterms:modified xsi:type="dcterms:W3CDTF">2023-09-03T23:11:49Z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{1867E8E5-0BA6-4B5B-99AF-AC2AC410D387}</vt:lpwstr>
  </property>
</Properties>
</file>