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248" documentId="8_{AB910400-F9FF-4745-9C86-B8373B86CBD5}" xr6:coauthVersionLast="47" xr6:coauthVersionMax="47" xr10:uidLastSave="{CCCF1313-F72A-4F5F-BB04-993F23815CE8}"/>
  <bookViews>
    <workbookView xWindow="6490" yWindow="3220" windowWidth="19200" windowHeight="9930" firstSheet="15" activeTab="16"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 2023" sheetId="27"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March 2023 Data" sheetId="26" r:id="rId16"/>
    <sheet name="Documentation Information" sheetId="3" r:id="rId17"/>
  </sheets>
  <externalReferences>
    <externalReference r:id="rId18"/>
  </externalReferences>
  <definedNames>
    <definedName name="_xlnm._FilterDatabase" localSheetId="9" hidden="1">'January 2023 Data'!$A$3:$O$38</definedName>
    <definedName name="_xlnm._FilterDatabase" localSheetId="15" hidden="1">'March 2023 Data'!$A$3:$P$38</definedName>
    <definedName name="_xlnm._FilterDatabase" localSheetId="10" hidden="1">'November 2022 Data'!$A$3:$N$38</definedName>
    <definedName name="_xlnm._FilterDatabase" localSheetId="5" hidden="1">'September 2022 Data'!$A$3:$L$38</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5" hidden="1">1</definedName>
    <definedName name="solver_eng" localSheetId="10" hidden="1">1</definedName>
    <definedName name="solver_eng" localSheetId="5" hidden="1">1</definedName>
    <definedName name="solver_neg" localSheetId="12" hidden="1">1</definedName>
    <definedName name="solver_neg" localSheetId="13" hidden="1">1</definedName>
    <definedName name="solver_neg" localSheetId="9" hidden="1">1</definedName>
    <definedName name="solver_neg" localSheetId="15" hidden="1">1</definedName>
    <definedName name="solver_neg" localSheetId="10" hidden="1">1</definedName>
    <definedName name="solver_neg" localSheetId="5" hidden="1">1</definedName>
    <definedName name="solver_num" localSheetId="12" hidden="1">0</definedName>
    <definedName name="solver_num" localSheetId="13" hidden="1">0</definedName>
    <definedName name="solver_num" localSheetId="9" hidden="1">0</definedName>
    <definedName name="solver_num" localSheetId="15" hidden="1">0</definedName>
    <definedName name="solver_num" localSheetId="10" hidden="1">0</definedName>
    <definedName name="solver_num" localSheetId="5"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5" hidden="1">'March 2023 Data'!$I$3</definedName>
    <definedName name="solver_opt" localSheetId="10" hidden="1">'November 2022 Data'!$G$3</definedName>
    <definedName name="solver_opt" localSheetId="5" hidden="1">'September 2022 Data'!$E$3</definedName>
    <definedName name="solver_typ" localSheetId="12" hidden="1">1</definedName>
    <definedName name="solver_typ" localSheetId="13" hidden="1">1</definedName>
    <definedName name="solver_typ" localSheetId="9" hidden="1">1</definedName>
    <definedName name="solver_typ" localSheetId="15" hidden="1">1</definedName>
    <definedName name="solver_typ" localSheetId="10" hidden="1">1</definedName>
    <definedName name="solver_typ" localSheetId="5" hidden="1">1</definedName>
    <definedName name="solver_val" localSheetId="12" hidden="1">0</definedName>
    <definedName name="solver_val" localSheetId="13" hidden="1">0</definedName>
    <definedName name="solver_val" localSheetId="9" hidden="1">0</definedName>
    <definedName name="solver_val" localSheetId="15" hidden="1">0</definedName>
    <definedName name="solver_val" localSheetId="10" hidden="1">0</definedName>
    <definedName name="solver_val" localSheetId="5" hidden="1">0</definedName>
    <definedName name="solver_ver" localSheetId="12" hidden="1">3</definedName>
    <definedName name="solver_ver" localSheetId="13" hidden="1">3</definedName>
    <definedName name="solver_ver" localSheetId="9" hidden="1">3</definedName>
    <definedName name="solver_ver" localSheetId="15" hidden="1">3</definedName>
    <definedName name="solver_ver" localSheetId="10" hidden="1">3</definedName>
    <definedName name="solver_ver" localSheetId="5"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3" i="26" l="1"/>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O39" i="26" l="1"/>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S2" i="26" l="1"/>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B1" i="3" a="1"/>
  <c r="B1" i="3" s="1"/>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D28" i="11" l="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<sst xmlns="http://schemas.openxmlformats.org/spreadsheetml/2006/main" count="1021" uniqueCount="217">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</sst>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3">
    <fill>
      <patternFill patternType="none"/>
    </fill>
    <fill>
      <patternFill patternType="gray125"/>
    </fill>
    <fill>
      <patternFill patternType="solid">
        <fgColor theme="9" tint="0.89999084444715716"/>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externalLink" Target="externalLinks/externalLink1.xml"/><Relationship Id="rId3" Type="http://schemas.openxmlformats.org/officeDocument/2006/relationships/chartsheet" Target="chartsheets/sheet3.xml"/><Relationship Id="rId21" Type="http://schemas.openxmlformats.org/officeDocument/2006/relationships/sharedStrings" Target="sharedStrings.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worksheet" Target="worksheets/sheet9.xml"/><Relationship Id="rId2" Type="http://schemas.openxmlformats.org/officeDocument/2006/relationships/chartsheet" Target="chartsheets/sheet2.xml"/><Relationship Id="rId16" Type="http://schemas.openxmlformats.org/officeDocument/2006/relationships/worksheet" Target="worksheets/sheet8.xml"/><Relationship Id="rId20" Type="http://schemas.openxmlformats.org/officeDocument/2006/relationships/styles" Target="styles.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calcChain" Target="calcChain.xml"/><Relationship Id="rId10" Type="http://schemas.openxmlformats.org/officeDocument/2006/relationships/worksheet" Target="worksheets/sheet2.xml"/><Relationship Id="rId19" Type="http://schemas.openxmlformats.org/officeDocument/2006/relationships/theme" Target="theme/theme1.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AA003AD3-8B38-4FDB-B0A5-8FDE2A0BDA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A9DED67A-7FB2-4633-8104-204D30BF4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0483B860-1F7F-4D89-9660-0CA14F781F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0FBE0BA5-D94F-470D-AE21-9D6DF03C32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455F5806-A38A-44B8-9FF8-830001BD8A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2127F52B-8DEC-48D1-88DE-D0B14239B1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439529ED-E480-4CD6-A5FA-E00BDA546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C8E11351-9945-4F92-8D56-ACCB8C3CE0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964086FD-8783-4F6F-A9F8-F402917D99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E2D96F76-D006-443A-B3C4-2425612BF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810B6F95-3B18-4348-A323-673E84C158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ABCAF7E2-4ED5-40C8-B509-B29F4D52B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ECD9D750-1155-426A-A9D6-E7B97D22EB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773AD183-6898-4457-AB4C-860C3B84E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B1C65DF4-12CC-4B2F-8F52-47FBA11C8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2BDBD8FD-682C-4915-B770-1A1AEA4B3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853AA804-4654-4FC2-B945-0D4EAE4375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7348DFE0-6573-435A-B80A-D26CB052E4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87E922BB-516B-4205-9337-08875944E2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48C1E5F6-5011-48C0-B3CF-4727EFF066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EC9650A7-7B8B-42E6-AC98-FF7D82CD3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FE68BAF1-A856-4E6B-8BF1-F48E1F71F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16C6EA3E-EC29-47A2-8046-A761E2A3B2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326392B5-4A3B-4C90-817A-B4BD84DB1D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99D8C51A-7D1D-4DC9-A1C4-3764BD0C77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CB1B613A-567E-40F9-B36B-668FBC7A5B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7831E4A3-28FA-4D25-A4B4-E652B4C1F7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ABA8C9FD-A37F-41AD-BDA1-9D108C452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BDC25A6F-B72B-4856-8C0E-C416DCC850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881163CC-B58C-4854-A2E5-3EE884AD2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8481A469-B871-4804-B35A-3CFCB9DEE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BFDC6E69-37FD-4E92-8EDE-A0F355860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46FC3D60-7A2B-4CC5-B3FF-D6AE3B61F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AD679CD0-49AC-4046-8ED6-BE993858A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C4E06BC0-8387-4080-BF51-93AA6F6DA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000B789C-F54F-4D19-B21B-4474D49E89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67FBC33C-DEBD-4188-86F2-88E98F070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D87AFA3A-44A5-4925-9B37-EDFE2CED77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A29B92D0-1F83-4646-902C-04E8CB9278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12DEF6D9-A4B3-4C95-8CD1-984C7382BE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C0B389EB-8BE6-4CED-B640-7E3D91B31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0A8ECE85-843D-4AF8-97AE-FF32F6EBD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1690C9D4-B612-4BC6-B5A8-F38CF34337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8F61D035-9BE8-49BB-BCB5-D7AB78EF8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36312163-6F3C-4E6C-BFAE-204852E1E7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646E9239-0096-40B6-88F5-5277158AD5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C80DBB57-F59E-42AA-81EE-E1FEBF7A97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4AD12AE5-AF72-48A9-B749-BD1C1EF17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4DA645B4-C6AE-4DAE-8B99-425A7580FA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1BDE4866-D5BE-4F32-9A9C-AE6880E41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563D61D6-6D8E-4CE7-B882-B04AB7B27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BF0957CD-FA75-406B-8F44-B26E150B60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CD11E4CE-06AB-4C30-86A1-9BC0DD2601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4936D2E4-20DF-4450-8524-56AF0D82C5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A5B4C178-799D-49D1-B77C-F7248896EB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459D3FBC-8ED5-439B-B977-983DB1320B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6CD40FC5-B922-4572-AF88-F5DB1CF508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5083084C-A514-4047-A02F-567FB63E25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2FDE0078-14EB-4942-B61A-0987ABE8C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C4F95698-B2DF-4A72-8240-454A5C0209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9CD918E1-BA9F-40FF-A850-EA490F82D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A11EF114-08AF-4CAF-8417-FAB62BA9C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E03F662B-E347-4039-ABBB-6A20B70C2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B6161079-A1EF-436A-BA99-2A6B17461A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F2513407-391B-4F22-B5A7-E200AA14C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6D75F514-72B6-4ECB-BFE1-BCFB08FBD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F74BA52D-9632-405D-B56D-9C9B42995C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54807515-45BD-40FF-9FDD-76A1C01C20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C4DAB425-3C2A-4F98-821C-91FC76870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CB61D88B-DB5E-453D-9A3D-8040A3F32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221C1195-FFAE-4164-9FCC-9D4C6ECB6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0F85C8F7-993D-4B4C-BAE6-1181510FF8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52E93891-C048-449D-9047-6C1CAF579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12E67BEE-F5D8-4A1C-B09F-48A1EB072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95EE8EA6-277A-44A7-A922-F7EFB92DE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F1F90AE3-5C04-4284-9E63-A32BA97D34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843DF82C-1D00-4209-9436-775FC5FC5E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BFD815C9-D520-4D33-86BA-47412CADD5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66C9FEC8-086E-4D0E-A2D4-AFEACA3D3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25E4446B-0202-4A95-BC7B-4EBDEF436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91B995ED-D655-4627-AA43-3053810FA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1C075368-187F-4C70-8D54-ED919BF728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D64C4C00-3ED9-46E8-BD05-D8C997C245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128C5EDB-708C-435C-AE0F-50E3B91F42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B43E7075-9AD4-4DE1-81D2-C6A4A37D1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121DEC00-CA2C-4241-93CF-12ADD3FE2D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708547E5-94EC-4A87-B1D4-5A36B7527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B541EE4B-3C25-4451-82A6-EAD8B14BA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B4D6AE57-AD6C-413B-95D0-3E131DBAD2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C20C3249-DD7B-4FE2-A58D-177282E15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EE522627-0F66-4AC8-9485-D7956EFEF6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CE24EAC2-8958-448A-86F9-B0B3D7A398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CA036A24-CE8D-41FA-95F3-94EFDA407B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0F9D87BB-D5A1-410B-8F56-A47637D396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4FF748BB-2A44-4B0C-8D02-0F72C75B3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14E4722D-04BF-421E-BDAA-A48598B6D9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6AFD5FB1-350A-41BB-A1B7-1ED8ED8E2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D0A29CC4-574E-4037-A4F9-54D67A493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368831E3-0B51-48C3-9AE0-722B129287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25E1CE3E-2CAC-4187-978A-1466DC3FAE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421A1F67-0FA3-4384-BC8E-70D10D9B33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699F78CF-E773-41B9-BB37-6BE615D190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0AF18A4E-4AF7-4966-AB34-A17F3DB7E7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9FE8A6B9-3722-4825-8AA4-C40AF8AD0E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C4B75EE7-C60B-4A09-A928-9D32A14B62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C47CDEB9-DE56-4969-866B-7D038EFD3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3F9A10F6-95C7-4EAE-9A74-070A5675AA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A5B25AA6-41D6-42F4-B016-B4D9B74ED5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AB2C5AA6-7237-46A9-B8ED-9E039134E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9804223A-CCE6-453A-937F-86DF39B2CA04}"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01141FA9-6FA7-40A5-93EB-2F82D9CAA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F8F06CD0-26A3-4E5C-A0F9-9BE2C475D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DF709FCB-1914-4950-AD11-6ECB4A6B84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626424BF-948A-408D-B2EC-45736772AA2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7B8C0ED9-E349-4856-AE62-D1F2BFCC7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623EF8C8-CFC4-43BA-B143-98B1DD7355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8881F4DD-9322-435E-BC2A-E9992626CBC1}"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8384B937-8840-46D6-958D-19D530972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30AF79C4-23C6-41CB-A9DA-80D5A896FF3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326CD23C-747E-4E70-B2B4-574721D28F1A}"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48C93809-D994-4061-BBBA-E4A9363F44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D118A2CD-2F58-463A-B6B3-E1D69E704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6A326ACB-7187-4C9D-BC6A-0F9B21378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E0A80F91-55E1-4A37-B1E2-0AFA17F72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356012B4-0969-4EBE-87AD-61B683E11C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DFED5DD1-07D1-4561-A78C-5BDCBF4A37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3F787F88-DD50-4720-A79D-D97AF0C34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5DE5C44F-2301-4BF1-B104-63348615018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3661B550-2122-4901-BBB5-BB81C25DD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67DDF901-4817-4BBA-BE8A-FD848493608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20E16077-AC12-4CA5-A330-F027830BDD0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75FC393C-A33C-4B75-A048-B4CB1E99D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9E17962B-65C0-4481-9653-DED41DED85C7}"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9C093A6C-BB71-436B-B9FB-90E925B10A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4C61468C-B6B2-4EC0-B56F-588F23CDD2E5}"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8F7D32F5-C81F-40D9-9DB1-C281C51935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29F65BD8-3591-435E-9201-E383667C55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C621B097-3FC5-4F75-B072-56550C007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CDEBEBD2-EDBF-42A5-8627-0A0BE25EE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83C77452-9AD5-4F31-B411-5F13E5FF1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684557ED-4376-453F-8EEF-976DA0AFF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A5EC06AA-0C3C-4649-BA83-2695CBAC9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F9B25B56-55A8-48B2-9374-26D6A9BB99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B9EED983-3297-48C9-AB7B-3712CBB350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A42C7FF4-7998-46DC-8594-653807C2EB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84FEF41F-0DD8-4F7D-A207-802C22491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A43667A4-46BD-4AD1-8089-6495B922B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3B740817-07C3-4B79-9778-461B7191D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9C7C2A2F-AD02-47EF-95BF-0BC5DA628A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6550E64F-3E42-4489-9C48-EFBDB68994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68D83044-EC78-45CD-BB0C-5F4A82BB39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16A01697-AC92-4C1E-B22F-FAA9C12DE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130E024F-ABFE-41A4-A501-E472894579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868C9E43-400B-42E0-890B-524729ED46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ED9E0DD6-A8BF-48E2-8CC1-92A341CA8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8D16454F-8F34-4416-8B59-CC208A1B5A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B31AE9D8-D2A8-4A92-ACDC-57019027EE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EF716B4B-EDF0-4612-8EB8-BC5F1CC1F4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6CEF0201-FBB0-40BB-8604-61EB845DA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8D59311C-B1C9-48EF-A21E-91B5AB56AB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F3A5AAFE-859A-4AD0-8259-9742B9C88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C21E869E-811E-45A7-806E-54D7DC2028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BC83220B-F9AE-4D51-81B1-055672FCFA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EFFE7E96-25BA-42EA-BD78-9FF7EF4E7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379822C6-D441-40C1-9016-66B323D0CF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61C97615-F18C-486A-A41A-9B54155645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C89A4C5F-5740-4B75-B88B-CB7F23F35E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882C18B1-929B-4AD9-B5C6-A07BF060E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849F8942-C60A-4474-9E3A-1190E00A81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F38F8FC8-D00D-4722-A581-C976D3550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580A06C2-4751-4E27-966F-EC876AA2EA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59216308-497D-480C-9D2A-2FEB229FD0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43306EB3-73C7-4968-86E0-0B606CFBE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C3453C95-17D2-430B-A008-E4BEA303D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BD81D796-1160-4C1A-B7A9-F80B65FBA9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9DFA41A2-578C-4ACD-9AB7-9B6213FCD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D95C8B0B-ED46-4513-ACEE-6BEF88BA99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55B33CC1-E32B-4879-BB97-85D7F361C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4903E3F3-2094-40A6-90C9-F79737DA5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F86BC9E4-87B5-4F7A-BACC-460C4B839D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8B44B790-8BA4-4F19-B657-9CFA240BC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F8FB3B9F-5A96-4C2E-81A7-9E26CDE512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8ACE5928-3F1C-47B5-A50B-ADD598D4A6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784DBECB-6B43-40BF-B7EA-9ACA33C3F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1430394F-8138-4D2A-BA58-61E3D8B494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D01E0A6B-745A-4C33-8458-7349A93A33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1BEDE841-1E7D-4B3C-87CF-8638719077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DA069605-86FD-46E3-B40C-8B84C1376F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79D319B5-E8B8-4480-AB6B-C8FC87D931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729D96C9-9262-4BF1-A774-9F522040B1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AFC5E919-43BA-4BEB-925E-1773510F02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493D1F8C-B4C8-43AB-91B5-0AA9B4851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8E1185F6-5A0B-4880-BBA8-EB117DC4F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F71B2821-8206-4C6E-8A66-70FF0F6BD5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EA704EF3-78B9-48C5-8DD9-D0A32B6A49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2EE36779-E77F-4125-930E-FB02D7C8A9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CDAF79FF-B793-4292-9063-1DD8D95310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60BE2209-6927-4D73-B12D-12AFCE2080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2EDBD329-6EA4-400F-8EA5-5C6F1B9BA8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C60D6768-4289-4DEB-BA09-F6EAF43DA7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441C6020-3B60-4FBF-A866-B604AEB273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399719DA-12CD-47B5-9C0C-25ED21341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06D3D1BE-6DF3-4CAB-82B4-E9395EE3FB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8ADCAD22-27F6-473B-B5D5-FCEDFB8038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0A364D3E-1615-43B7-9970-313B752B1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B9A2A3C6-1479-4C39-9655-5EB52A0AA6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B4E01F11-1EE2-49E4-A7D3-16A5F512F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54640CE1-945D-4FD8-858A-F6AB280AE7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D0B50E22-C5AA-43F3-889C-5F144F19C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19761D22-9316-4D7E-A14E-31D0CC6E8E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4E0A7265-681D-4D5C-AEF4-7EC280BD12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F613EF0F-EB84-4D43-8F2D-5341269811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6C7C8829-4BD2-47F0-A318-D1806B9D60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81FD6588-0499-4E84-8098-A4BAF4BEF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3B8944F9-5416-4467-BB31-8E55E4350B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05E2F6AF-1400-409F-9887-FBC369DD89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00AA19B9-232D-43D3-B005-69F448534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91A8DEB9-B241-4C4C-8DDF-E47362C083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421AE719-DE41-8F57-7F94-72893C24A0C5}"/>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sumo.or.jp/EnHonbashoBanzuke/index/" TargetMode="External"/><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drawing" Target="../drawings/drawing11.xml"/><Relationship Id="rId5" Type="http://schemas.openxmlformats.org/officeDocument/2006/relationships/printerSettings" Target="../printerSettings/printerSettings7.bin"/><Relationship Id="rId4"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15" activePane="bottomRight" state="frozen"/>
      <selection pane="topRight" activeCell="B1" sqref="B1"/>
      <selection pane="bottomLeft" activeCell="A4" sqref="A4"/>
      <selection pane="bottomRight" activeCell="E5" sqref="E5"/>
    </sheetView>
  </sheetViews>
  <sheetFormatPr defaultRowHeight="14.5"/>
  <cols>
    <col min="1" max="4" width="21.17968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cols>
    <col min="1" max="7" width="21.1796875" customWidth="1"/>
    <col min="10" max="10" width="11.26953125" bestFit="1" customWidth="1"/>
    <col min="11" max="11" width="8.7265625" style="4"/>
    <col min="18" max="18" width="9.54296875" customWidth="1"/>
  </cols>
  <sheetData>
    <row r="1" spans="1:23">
      <c r="C1" t="s">
        <v>174</v>
      </c>
      <c r="H1" t="s">
        <v>178</v>
      </c>
    </row>
    <row r="2" spans="1:23">
      <c r="C2" s="17" t="s">
        <v>162</v>
      </c>
      <c r="D2" s="17"/>
      <c r="E2" s="17"/>
      <c r="P2">
        <f>MAX(P4:P45)</f>
        <v>42</v>
      </c>
      <c r="Q2">
        <f>MAX(Q4:Q45)</f>
        <v>42</v>
      </c>
      <c r="R2">
        <f>MAX(R4:R45)</f>
        <v>42</v>
      </c>
    </row>
    <row r="3" spans="1:23">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cols>
    <col min="1" max="6" width="21.1796875" customWidth="1"/>
    <col min="9" max="9" width="11.26953125" bestFit="1" customWidth="1"/>
    <col min="10" max="10" width="8.7265625" style="4"/>
    <col min="17" max="17" width="9.5429687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186</v>
      </c>
      <c r="B18">
        <v>21</v>
      </c>
    </row>
    <row r="19" spans="1:2">
      <c r="A19" t="s">
        <v>39</v>
      </c>
      <c r="B19">
        <v>2</v>
      </c>
    </row>
    <row r="20" spans="1:2">
      <c r="A20" t="s">
        <v>31</v>
      </c>
      <c r="B20">
        <v>3</v>
      </c>
    </row>
    <row r="21" spans="1:2">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cols>
    <col min="1" max="3" width="21.17968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17968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zoomScale="106" zoomScaleNormal="106" workbookViewId="0">
      <pane xSplit="1" ySplit="3" topLeftCell="O4" activePane="bottomRight" state="frozen"/>
      <selection pane="topRight" activeCell="B1" sqref="B1"/>
      <selection pane="bottomLeft" activeCell="A4" sqref="A4"/>
      <selection pane="bottomRight" activeCell="AA10" sqref="AA10"/>
    </sheetView>
  </sheetViews>
  <sheetFormatPr defaultRowHeight="14.5"/>
  <cols>
    <col min="1" max="8" width="21.1796875" customWidth="1"/>
    <col min="11" max="11" width="11.26953125" bestFit="1" customWidth="1"/>
    <col min="12" max="12" width="8.7265625" style="4"/>
    <col min="19" max="19" width="9.54296875" customWidth="1"/>
  </cols>
  <sheetData>
    <row r="1" spans="1:27">
      <c r="C1" t="s">
        <v>174</v>
      </c>
      <c r="I1" t="s">
        <v>197</v>
      </c>
    </row>
    <row r="2" spans="1:27">
      <c r="C2" s="17" t="s">
        <v>162</v>
      </c>
      <c r="D2" s="17"/>
      <c r="E2" s="17"/>
      <c r="F2" s="17"/>
      <c r="Q2">
        <f>MAX(Q4:Q45)</f>
        <v>41</v>
      </c>
      <c r="R2">
        <f>MAX(R4:R45)</f>
        <v>42</v>
      </c>
      <c r="S2">
        <f>MAX(S4:S45)</f>
        <v>42</v>
      </c>
    </row>
    <row r="3" spans="1:27">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Y3">
        <f>SUM(Y4:Y10)</f>
        <v>38</v>
      </c>
      <c r="Z3">
        <f>Y3-Y5</f>
        <v>21</v>
      </c>
      <c r="AA3">
        <f>Z3/Y3</f>
        <v>0.55263157894736847</v>
      </c>
    </row>
    <row r="4" spans="1:27">
      <c r="A4" s="1" t="s">
        <v>86</v>
      </c>
      <c r="B4" s="1">
        <v>7</v>
      </c>
      <c r="C4" s="1" t="s">
        <v>14</v>
      </c>
      <c r="D4" s="1" t="s">
        <v>14</v>
      </c>
      <c r="E4" s="1" t="s">
        <v>14</v>
      </c>
      <c r="F4" s="1" t="s">
        <v>14</v>
      </c>
      <c r="G4" s="1">
        <f>_xlfn.XLOOKUP(F4,'rank lookup'!$A$1:$A$21,'rank lookup'!$B$1:$B$21,,0)</f>
        <v>1</v>
      </c>
      <c r="H4" s="1"/>
      <c r="I4" s="19">
        <v>192</v>
      </c>
      <c r="J4" s="19">
        <v>180</v>
      </c>
      <c r="K4" s="5">
        <f>J4/(I4*I4)*10000</f>
        <v>48.828125</v>
      </c>
      <c r="L4" s="4">
        <f>CONVERT(I4,"cm","in")</f>
        <v>75.59055118110237</v>
      </c>
      <c r="M4">
        <f>_xlfn.FLOOR.MATH(L4/12)</f>
        <v>6</v>
      </c>
      <c r="N4">
        <f>ROUND(L4-M4*12,1)</f>
        <v>3.6</v>
      </c>
      <c r="O4" t="str">
        <f>M4&amp;"' "&amp;N4&amp;""""</f>
        <v>6' 3.6"</v>
      </c>
      <c r="P4">
        <f>ROUND(CONVERT(J4,"kg","lbm"),0)</f>
        <v>397</v>
      </c>
      <c r="Q4">
        <f>_xlfn.RANK.EQ(I4,I$4:I$45)</f>
        <v>3</v>
      </c>
      <c r="R4">
        <f>_xlfn.RANK.EQ(J4,J$4:J$45)</f>
        <v>5</v>
      </c>
      <c r="S4">
        <f>_xlfn.RANK.EQ(K4,K$4:K$45)</f>
        <v>15</v>
      </c>
      <c r="T4">
        <f>_xlfn.XLOOKUP(A4,'January 2023 Data'!$A$4:$A$49,'January 2023 Data'!$H$4:$H$49,,0)</f>
        <v>192</v>
      </c>
      <c r="U4">
        <f>I4-T4</f>
        <v>0</v>
      </c>
      <c r="X4" cm="1">
        <f t="array" ref="X4:X10">_xlfn.SEQUENCE(7,1,-1)</f>
        <v>-1</v>
      </c>
      <c r="Y4">
        <f>COUNTIF(U$4:U$45,X4)</f>
        <v>7</v>
      </c>
    </row>
    <row r="5" spans="1:27">
      <c r="A5" s="1" t="s">
        <v>123</v>
      </c>
      <c r="B5" s="1">
        <v>2</v>
      </c>
      <c r="C5" s="1" t="s">
        <v>39</v>
      </c>
      <c r="D5" s="1" t="s">
        <v>39</v>
      </c>
      <c r="E5" s="1" t="s">
        <v>39</v>
      </c>
      <c r="F5" s="1" t="s">
        <v>39</v>
      </c>
      <c r="G5" s="1">
        <f>_xlfn.XLOOKUP(F5,'rank lookup'!$A$1:$A$21,'rank lookup'!$B$1:$B$21,,0)</f>
        <v>2</v>
      </c>
      <c r="H5" s="1"/>
      <c r="I5" s="19">
        <v>175</v>
      </c>
      <c r="J5" s="19">
        <v>165</v>
      </c>
      <c r="K5" s="5">
        <f>J5/(I5*I5)*10000</f>
        <v>53.877551020408163</v>
      </c>
      <c r="L5" s="4">
        <f>CONVERT(I5,"cm","in")</f>
        <v>68.897637795275585</v>
      </c>
      <c r="M5">
        <f>_xlfn.FLOOR.MATH(L5/12)</f>
        <v>5</v>
      </c>
      <c r="N5">
        <f>ROUND(L5-M5*12,1)</f>
        <v>8.9</v>
      </c>
      <c r="O5" t="str">
        <f>M5&amp;"' "&amp;N5&amp;""""</f>
        <v>5' 8.9"</v>
      </c>
      <c r="P5">
        <f>ROUND(CONVERT(J5,"kg","lbm"),0)</f>
        <v>364</v>
      </c>
      <c r="Q5">
        <f t="shared" ref="Q5:S45" si="0">_xlfn.RANK.EQ(I5,I$4:I$45)</f>
        <v>38</v>
      </c>
      <c r="R5">
        <f t="shared" si="0"/>
        <v>16</v>
      </c>
      <c r="S5">
        <f t="shared" si="0"/>
        <v>5</v>
      </c>
      <c r="T5">
        <f>_xlfn.XLOOKUP(A5,'January 2023 Data'!$A$4:$A$49,'January 2023 Data'!$H$4:$H$49,,0)</f>
        <v>175</v>
      </c>
      <c r="U5">
        <f t="shared" ref="U5:U53" si="1">I5-T5</f>
        <v>0</v>
      </c>
      <c r="X5">
        <v>0</v>
      </c>
      <c r="Y5">
        <f t="shared" ref="Y5:Y10" si="2">COUNTIF(U$4:U$45,X5)</f>
        <v>17</v>
      </c>
    </row>
    <row r="6" spans="1:27" ht="25">
      <c r="A6" s="1" t="s">
        <v>114</v>
      </c>
      <c r="B6" s="1"/>
      <c r="C6" s="1" t="s">
        <v>31</v>
      </c>
      <c r="D6" s="1" t="s">
        <v>31</v>
      </c>
      <c r="E6" s="1" t="s">
        <v>31</v>
      </c>
      <c r="F6" s="1" t="s">
        <v>31</v>
      </c>
      <c r="G6" s="1">
        <f>_xlfn.XLOOKUP(F6,'rank lookup'!$A$1:$A$21,'rank lookup'!$B$1:$B$21,,0)</f>
        <v>3</v>
      </c>
      <c r="H6" s="1" t="s">
        <v>196</v>
      </c>
      <c r="I6" s="19">
        <v>182</v>
      </c>
      <c r="J6" s="19">
        <v>132</v>
      </c>
      <c r="K6" s="5">
        <f>J6/(I6*I6)*10000</f>
        <v>39.850259630479414</v>
      </c>
      <c r="L6" s="4">
        <f>CONVERT(I6,"cm","in")</f>
        <v>71.653543307086608</v>
      </c>
      <c r="M6">
        <f>_xlfn.FLOOR.MATH(L6/12)</f>
        <v>5</v>
      </c>
      <c r="N6">
        <f>ROUND(L6-M6*12,1)</f>
        <v>11.7</v>
      </c>
      <c r="O6" t="str">
        <f>M6&amp;"' "&amp;N6&amp;""""</f>
        <v>5' 11.7"</v>
      </c>
      <c r="P6">
        <f>ROUND(CONVERT(J6,"kg","lbm"),0)</f>
        <v>291</v>
      </c>
      <c r="Q6">
        <f t="shared" si="0"/>
        <v>30</v>
      </c>
      <c r="R6">
        <f t="shared" si="0"/>
        <v>40</v>
      </c>
      <c r="S6">
        <f t="shared" si="0"/>
        <v>42</v>
      </c>
      <c r="T6">
        <f>_xlfn.XLOOKUP(A6,'January 2023 Data'!$A$4:$A$49,'January 2023 Data'!$H$4:$H$49,,0)</f>
        <v>183</v>
      </c>
      <c r="U6">
        <f t="shared" si="1"/>
        <v>-1</v>
      </c>
      <c r="X6">
        <v>1</v>
      </c>
      <c r="Y6">
        <f t="shared" si="2"/>
        <v>11</v>
      </c>
    </row>
    <row r="7" spans="1:27" ht="25">
      <c r="A7" s="1" t="s">
        <v>95</v>
      </c>
      <c r="B7" s="1"/>
      <c r="C7" s="1" t="s">
        <v>31</v>
      </c>
      <c r="D7" s="1" t="s">
        <v>31</v>
      </c>
      <c r="E7" s="1" t="s">
        <v>31</v>
      </c>
      <c r="F7" s="1" t="s">
        <v>31</v>
      </c>
      <c r="G7" s="1">
        <f>_xlfn.XLOOKUP(F7,'rank lookup'!$A$1:$A$21,'rank lookup'!$B$1:$B$21,,0)</f>
        <v>3</v>
      </c>
      <c r="H7" s="1" t="s">
        <v>195</v>
      </c>
      <c r="I7" s="19">
        <v>188</v>
      </c>
      <c r="J7" s="19">
        <v>141</v>
      </c>
      <c r="K7" s="5">
        <f>J7/(I7*I7)*10000</f>
        <v>39.89361702127659</v>
      </c>
      <c r="L7" s="4">
        <f>CONVERT(I7,"cm","in")</f>
        <v>74.015748031496059</v>
      </c>
      <c r="M7">
        <f>_xlfn.FLOOR.MATH(L7/12)</f>
        <v>6</v>
      </c>
      <c r="N7">
        <f>ROUND(L7-M7*12,1)</f>
        <v>2</v>
      </c>
      <c r="O7" t="str">
        <f>M7&amp;"' "&amp;N7&amp;""""</f>
        <v>6' 2"</v>
      </c>
      <c r="P7">
        <f>ROUND(CONVERT(J7,"kg","lbm"),0)</f>
        <v>311</v>
      </c>
      <c r="Q7">
        <f t="shared" si="0"/>
        <v>12</v>
      </c>
      <c r="R7">
        <f t="shared" si="0"/>
        <v>35</v>
      </c>
      <c r="S7">
        <f t="shared" si="0"/>
        <v>41</v>
      </c>
      <c r="T7">
        <f>_xlfn.XLOOKUP(A7,'January 2023 Data'!$A$4:$A$49,'January 2023 Data'!$H$4:$H$49,,0)</f>
        <v>185</v>
      </c>
      <c r="U7">
        <f t="shared" si="1"/>
        <v>3</v>
      </c>
      <c r="X7">
        <v>2</v>
      </c>
      <c r="Y7">
        <f t="shared" si="2"/>
        <v>2</v>
      </c>
    </row>
    <row r="8" spans="1:27">
      <c r="A8" s="1" t="s">
        <v>102</v>
      </c>
      <c r="B8" s="1"/>
      <c r="C8" s="1" t="s">
        <v>42</v>
      </c>
      <c r="D8" s="1" t="s">
        <v>42</v>
      </c>
      <c r="E8" s="1" t="s">
        <v>42</v>
      </c>
      <c r="F8" s="1" t="s">
        <v>31</v>
      </c>
      <c r="G8" s="1">
        <f>_xlfn.XLOOKUP(F8,'rank lookup'!$A$1:$A$21,'rank lookup'!$B$1:$B$21,,0)</f>
        <v>3</v>
      </c>
      <c r="H8" s="1"/>
      <c r="I8" s="19">
        <v>186</v>
      </c>
      <c r="J8" s="19">
        <v>140</v>
      </c>
      <c r="K8" s="5">
        <f>J8/(I8*I8)*10000</f>
        <v>40.467106023817784</v>
      </c>
      <c r="L8" s="4">
        <f>CONVERT(I8,"cm","in")</f>
        <v>73.228346456692918</v>
      </c>
      <c r="M8">
        <f>_xlfn.FLOOR.MATH(L8/12)</f>
        <v>6</v>
      </c>
      <c r="N8">
        <f>ROUND(L8-M8*12,1)</f>
        <v>1.2</v>
      </c>
      <c r="O8" t="str">
        <f>M8&amp;"' "&amp;N8&amp;""""</f>
        <v>6' 1.2"</v>
      </c>
      <c r="P8">
        <f>ROUND(CONVERT(J8,"kg","lbm"),0)</f>
        <v>309</v>
      </c>
      <c r="Q8">
        <f t="shared" si="0"/>
        <v>18</v>
      </c>
      <c r="R8">
        <f t="shared" si="0"/>
        <v>36</v>
      </c>
      <c r="S8">
        <f t="shared" si="0"/>
        <v>38</v>
      </c>
      <c r="T8">
        <f>_xlfn.XLOOKUP(A8,'January 2023 Data'!$A$4:$A$49,'January 2023 Data'!$H$4:$H$49,,0)</f>
        <v>185</v>
      </c>
      <c r="U8">
        <f t="shared" si="1"/>
        <v>1</v>
      </c>
      <c r="X8">
        <v>3</v>
      </c>
      <c r="Y8">
        <f t="shared" si="2"/>
        <v>1</v>
      </c>
    </row>
    <row r="9" spans="1:27">
      <c r="A9" s="1" t="s">
        <v>94</v>
      </c>
      <c r="B9" s="1"/>
      <c r="C9" s="1" t="s">
        <v>136</v>
      </c>
      <c r="D9" s="1" t="s">
        <v>132</v>
      </c>
      <c r="E9" s="1" t="s">
        <v>42</v>
      </c>
      <c r="F9" s="1" t="s">
        <v>42</v>
      </c>
      <c r="G9" s="1">
        <f>_xlfn.XLOOKUP(F9,'rank lookup'!$A$1:$A$21,'rank lookup'!$B$1:$B$21,,0)</f>
        <v>4</v>
      </c>
      <c r="H9" s="1"/>
      <c r="I9" s="19">
        <v>189</v>
      </c>
      <c r="J9" s="19">
        <v>172</v>
      </c>
      <c r="K9" s="5">
        <f>J9/(I9*I9)*10000</f>
        <v>48.150947621847095</v>
      </c>
      <c r="L9" s="4">
        <f>CONVERT(I9,"cm","in")</f>
        <v>74.409448818897644</v>
      </c>
      <c r="M9">
        <f>_xlfn.FLOOR.MATH(L9/12)</f>
        <v>6</v>
      </c>
      <c r="N9">
        <f>ROUND(L9-M9*12,1)</f>
        <v>2.4</v>
      </c>
      <c r="O9" t="str">
        <f>M9&amp;"' "&amp;N9&amp;""""</f>
        <v>6' 2.4"</v>
      </c>
      <c r="P9">
        <f>ROUND(CONVERT(J9,"kg","lbm"),0)</f>
        <v>379</v>
      </c>
      <c r="Q9">
        <f t="shared" si="0"/>
        <v>9</v>
      </c>
      <c r="R9">
        <f t="shared" si="0"/>
        <v>12</v>
      </c>
      <c r="S9">
        <f t="shared" si="0"/>
        <v>17</v>
      </c>
      <c r="T9">
        <f>_xlfn.XLOOKUP(A9,'January 2023 Data'!$A$4:$A$49,'January 2023 Data'!$H$4:$H$49,,0)</f>
        <v>189</v>
      </c>
      <c r="U9">
        <f t="shared" si="1"/>
        <v>0</v>
      </c>
      <c r="X9">
        <v>4</v>
      </c>
      <c r="Y9">
        <f t="shared" si="2"/>
        <v>0</v>
      </c>
    </row>
    <row r="10" spans="1:27" ht="25">
      <c r="A10" s="1" t="s">
        <v>100</v>
      </c>
      <c r="B10" s="1"/>
      <c r="C10" s="1" t="s">
        <v>141</v>
      </c>
      <c r="D10" s="1" t="s">
        <v>139</v>
      </c>
      <c r="E10" s="1" t="s">
        <v>42</v>
      </c>
      <c r="F10" s="1" t="s">
        <v>42</v>
      </c>
      <c r="G10" s="1">
        <f>_xlfn.XLOOKUP(F10,'rank lookup'!$A$1:$A$21,'rank lookup'!$B$1:$B$21,,0)</f>
        <v>4</v>
      </c>
      <c r="H10" s="1" t="s">
        <v>198</v>
      </c>
      <c r="I10" s="19">
        <v>187</v>
      </c>
      <c r="J10" s="19">
        <v>143</v>
      </c>
      <c r="K10" s="5">
        <f>J10/(I10*I10)*10000</f>
        <v>40.893362692670649</v>
      </c>
      <c r="L10" s="4">
        <f>CONVERT(I10,"cm","in")</f>
        <v>73.622047244094489</v>
      </c>
      <c r="M10">
        <f>_xlfn.FLOOR.MATH(L10/12)</f>
        <v>6</v>
      </c>
      <c r="N10">
        <f>ROUND(L10-M10*12,1)</f>
        <v>1.6</v>
      </c>
      <c r="O10" t="str">
        <f>M10&amp;"' "&amp;N10&amp;""""</f>
        <v>6' 1.6"</v>
      </c>
      <c r="P10">
        <f>ROUND(CONVERT(J10,"kg","lbm"),0)</f>
        <v>315</v>
      </c>
      <c r="Q10">
        <f t="shared" si="0"/>
        <v>16</v>
      </c>
      <c r="R10">
        <f t="shared" si="0"/>
        <v>33</v>
      </c>
      <c r="S10">
        <f t="shared" si="0"/>
        <v>37</v>
      </c>
      <c r="T10">
        <f>_xlfn.XLOOKUP(A10,'January 2023 Data'!$A$4:$A$49,'January 2023 Data'!$H$4:$H$49,,0)</f>
        <v>186</v>
      </c>
      <c r="U10">
        <f t="shared" si="1"/>
        <v>1</v>
      </c>
      <c r="X10">
        <v>5</v>
      </c>
      <c r="Y10">
        <f t="shared" si="2"/>
        <v>0</v>
      </c>
    </row>
    <row r="11" spans="1:27">
      <c r="A11" s="1" t="s">
        <v>112</v>
      </c>
      <c r="B11" s="1">
        <v>1</v>
      </c>
      <c r="C11" s="1" t="s">
        <v>31</v>
      </c>
      <c r="D11" s="1" t="s">
        <v>42</v>
      </c>
      <c r="E11" s="1" t="s">
        <v>132</v>
      </c>
      <c r="F11" s="1" t="s">
        <v>42</v>
      </c>
      <c r="G11" s="1">
        <f>_xlfn.XLOOKUP(F11,'rank lookup'!$A$1:$A$21,'rank lookup'!$B$1:$B$21,,0)</f>
        <v>4</v>
      </c>
      <c r="H11" s="1"/>
      <c r="I11" s="19">
        <v>182</v>
      </c>
      <c r="J11" s="19">
        <v>165</v>
      </c>
      <c r="K11" s="5">
        <f>J11/(I11*I11)*10000</f>
        <v>49.812824538099264</v>
      </c>
      <c r="L11" s="4">
        <f>CONVERT(I11,"cm","in")</f>
        <v>71.653543307086608</v>
      </c>
      <c r="M11">
        <f>_xlfn.FLOOR.MATH(L11/12)</f>
        <v>5</v>
      </c>
      <c r="N11">
        <f>ROUND(L11-M11*12,1)</f>
        <v>11.7</v>
      </c>
      <c r="O11" t="str">
        <f>M11&amp;"' "&amp;N11&amp;""""</f>
        <v>5' 11.7"</v>
      </c>
      <c r="P11">
        <f>ROUND(CONVERT(J11,"kg","lbm"),0)</f>
        <v>364</v>
      </c>
      <c r="Q11">
        <f t="shared" si="0"/>
        <v>30</v>
      </c>
      <c r="R11">
        <f t="shared" si="0"/>
        <v>16</v>
      </c>
      <c r="S11">
        <f t="shared" si="0"/>
        <v>11</v>
      </c>
      <c r="T11">
        <f>_xlfn.XLOOKUP(A11,'January 2023 Data'!$A$4:$A$49,'January 2023 Data'!$H$4:$H$49,,0)</f>
        <v>182</v>
      </c>
      <c r="U11">
        <f t="shared" si="1"/>
        <v>0</v>
      </c>
    </row>
    <row r="12" spans="1:27">
      <c r="A12" s="1" t="s">
        <v>124</v>
      </c>
      <c r="B12" s="1"/>
      <c r="C12" s="1" t="s">
        <v>132</v>
      </c>
      <c r="D12" s="1" t="s">
        <v>42</v>
      </c>
      <c r="E12" s="1" t="s">
        <v>132</v>
      </c>
      <c r="F12" s="1" t="s">
        <v>42</v>
      </c>
      <c r="G12" s="1">
        <f>_xlfn.XLOOKUP(F12,'rank lookup'!$A$1:$A$21,'rank lookup'!$B$1:$B$21,,0)</f>
        <v>4</v>
      </c>
      <c r="H12" s="1"/>
      <c r="I12" s="19">
        <v>174</v>
      </c>
      <c r="J12" s="19">
        <v>133</v>
      </c>
      <c r="K12" s="5">
        <f>J12/(I12*I12)*10000</f>
        <v>43.929184832870916</v>
      </c>
      <c r="L12" s="4">
        <f>CONVERT(I12,"cm","in")</f>
        <v>68.503937007874015</v>
      </c>
      <c r="M12">
        <f>_xlfn.FLOOR.MATH(L12/12)</f>
        <v>5</v>
      </c>
      <c r="N12">
        <f>ROUND(L12-M12*12,1)</f>
        <v>8.5</v>
      </c>
      <c r="O12" t="str">
        <f>M12&amp;"' "&amp;N12&amp;""""</f>
        <v>5' 8.5"</v>
      </c>
      <c r="P12">
        <f>ROUND(CONVERT(J12,"kg","lbm"),0)</f>
        <v>293</v>
      </c>
      <c r="Q12">
        <f t="shared" si="0"/>
        <v>40</v>
      </c>
      <c r="R12">
        <f t="shared" si="0"/>
        <v>39</v>
      </c>
      <c r="S12">
        <f t="shared" si="0"/>
        <v>28</v>
      </c>
      <c r="T12">
        <f>_xlfn.XLOOKUP(A12,'January 2023 Data'!$A$4:$A$49,'January 2023 Data'!$H$4:$H$49,,0)</f>
        <v>174</v>
      </c>
      <c r="U12">
        <f t="shared" si="1"/>
        <v>0</v>
      </c>
    </row>
    <row r="13" spans="1:27" ht="25">
      <c r="A13" s="1" t="s">
        <v>109</v>
      </c>
      <c r="B13" s="1">
        <v>1</v>
      </c>
      <c r="C13" s="1" t="s">
        <v>39</v>
      </c>
      <c r="D13" s="1" t="s">
        <v>39</v>
      </c>
      <c r="E13" s="1" t="s">
        <v>31</v>
      </c>
      <c r="F13" s="1" t="s">
        <v>132</v>
      </c>
      <c r="G13" s="1">
        <f>_xlfn.XLOOKUP(F13,'rank lookup'!$A$1:$A$21,'rank lookup'!$B$1:$B$21,,0)</f>
        <v>5</v>
      </c>
      <c r="H13" s="1" t="s">
        <v>199</v>
      </c>
      <c r="I13" s="19">
        <v>184</v>
      </c>
      <c r="J13" s="19">
        <v>160</v>
      </c>
      <c r="K13" s="5">
        <f>J13/(I13*I13)*10000</f>
        <v>47.258979206049148</v>
      </c>
      <c r="L13" s="4">
        <f>CONVERT(I13,"cm","in")</f>
        <v>72.440944881889763</v>
      </c>
      <c r="M13">
        <f>_xlfn.FLOOR.MATH(L13/12)</f>
        <v>6</v>
      </c>
      <c r="N13">
        <f>ROUND(L13-M13*12,1)</f>
        <v>0.4</v>
      </c>
      <c r="O13" t="str">
        <f>M13&amp;"' "&amp;N13&amp;""""</f>
        <v>6' 0.4"</v>
      </c>
      <c r="P13">
        <f>ROUND(CONVERT(J13,"kg","lbm"),0)</f>
        <v>353</v>
      </c>
      <c r="Q13">
        <f t="shared" si="0"/>
        <v>24</v>
      </c>
      <c r="R13">
        <f t="shared" si="0"/>
        <v>21</v>
      </c>
      <c r="S13">
        <f t="shared" si="0"/>
        <v>20</v>
      </c>
      <c r="T13">
        <f>_xlfn.XLOOKUP(A13,'January 2023 Data'!$A$4:$A$49,'January 2023 Data'!$H$4:$H$49,,0)</f>
        <v>183</v>
      </c>
      <c r="U13">
        <f t="shared" si="1"/>
        <v>1</v>
      </c>
    </row>
    <row r="14" spans="1:27">
      <c r="A14" s="1" t="s">
        <v>92</v>
      </c>
      <c r="B14" s="1">
        <v>2</v>
      </c>
      <c r="C14" s="1" t="s">
        <v>137</v>
      </c>
      <c r="D14" s="1" t="s">
        <v>42</v>
      </c>
      <c r="E14" s="1" t="s">
        <v>136</v>
      </c>
      <c r="F14" s="1" t="s">
        <v>132</v>
      </c>
      <c r="G14" s="1">
        <f>_xlfn.XLOOKUP(F14,'rank lookup'!$A$1:$A$21,'rank lookup'!$B$1:$B$21,,0)</f>
        <v>5</v>
      </c>
      <c r="H14" s="1"/>
      <c r="I14" s="19">
        <v>189</v>
      </c>
      <c r="J14" s="19">
        <v>174</v>
      </c>
      <c r="K14" s="5">
        <f>J14/(I14*I14)*10000</f>
        <v>48.710842361636011</v>
      </c>
      <c r="L14" s="4">
        <f>CONVERT(I14,"cm","in")</f>
        <v>74.409448818897644</v>
      </c>
      <c r="M14">
        <f>_xlfn.FLOOR.MATH(L14/12)</f>
        <v>6</v>
      </c>
      <c r="N14">
        <f>ROUND(L14-M14*12,1)</f>
        <v>2.4</v>
      </c>
      <c r="O14" t="str">
        <f>M14&amp;"' "&amp;N14&amp;""""</f>
        <v>6' 2.4"</v>
      </c>
      <c r="P14">
        <f>ROUND(CONVERT(J14,"kg","lbm"),0)</f>
        <v>384</v>
      </c>
      <c r="Q14">
        <f t="shared" si="0"/>
        <v>9</v>
      </c>
      <c r="R14">
        <f t="shared" si="0"/>
        <v>10</v>
      </c>
      <c r="S14">
        <f t="shared" si="0"/>
        <v>16</v>
      </c>
      <c r="T14">
        <f>_xlfn.XLOOKUP(A14,'January 2023 Data'!$A$4:$A$49,'January 2023 Data'!$H$4:$H$49,,0)</f>
        <v>189</v>
      </c>
      <c r="U14">
        <f t="shared" si="1"/>
        <v>0</v>
      </c>
    </row>
    <row r="15" spans="1:27" ht="25">
      <c r="A15" s="1" t="s">
        <v>93</v>
      </c>
      <c r="B15" s="1">
        <v>1</v>
      </c>
      <c r="C15" s="1" t="s">
        <v>42</v>
      </c>
      <c r="D15" s="1" t="s">
        <v>143</v>
      </c>
      <c r="E15" s="1" t="s">
        <v>137</v>
      </c>
      <c r="F15" s="1" t="s">
        <v>136</v>
      </c>
      <c r="G15" s="1">
        <f>_xlfn.XLOOKUP(F15,'rank lookup'!$A$1:$A$21,'rank lookup'!$B$1:$B$21,,0)</f>
        <v>6</v>
      </c>
      <c r="H15" s="1" t="s">
        <v>200</v>
      </c>
      <c r="I15" s="19">
        <v>186</v>
      </c>
      <c r="J15" s="19">
        <v>156</v>
      </c>
      <c r="K15" s="5">
        <f>J15/(I15*I15)*10000</f>
        <v>45.091918140825534</v>
      </c>
      <c r="L15" s="4">
        <f>CONVERT(I15,"cm","in")</f>
        <v>73.228346456692918</v>
      </c>
      <c r="M15">
        <f>_xlfn.FLOOR.MATH(L15/12)</f>
        <v>6</v>
      </c>
      <c r="N15">
        <f>ROUND(L15-M15*12,1)</f>
        <v>1.2</v>
      </c>
      <c r="O15" t="str">
        <f>M15&amp;"' "&amp;N15&amp;""""</f>
        <v>6' 1.2"</v>
      </c>
      <c r="P15">
        <f>ROUND(CONVERT(J15,"kg","lbm"),0)</f>
        <v>344</v>
      </c>
      <c r="Q15">
        <f t="shared" si="0"/>
        <v>18</v>
      </c>
      <c r="R15">
        <f t="shared" si="0"/>
        <v>24</v>
      </c>
      <c r="S15">
        <f t="shared" si="0"/>
        <v>23</v>
      </c>
      <c r="T15">
        <f>_xlfn.XLOOKUP(A15,'January 2023 Data'!$A$4:$A$49,'January 2023 Data'!$H$4:$H$49,,0)</f>
        <v>187</v>
      </c>
      <c r="U15">
        <f t="shared" si="1"/>
        <v>-1</v>
      </c>
    </row>
    <row r="16" spans="1:27" ht="25">
      <c r="A16" t="s">
        <v>149</v>
      </c>
      <c r="C16" s="1" t="s">
        <v>148</v>
      </c>
      <c r="D16" s="1" t="s">
        <v>141</v>
      </c>
      <c r="E16" s="1" t="s">
        <v>140</v>
      </c>
      <c r="F16" s="1" t="s">
        <v>136</v>
      </c>
      <c r="G16" s="1">
        <f>_xlfn.XLOOKUP(F16,'rank lookup'!$A$1:$A$21,'rank lookup'!$B$1:$B$21,,0)</f>
        <v>6</v>
      </c>
      <c r="H16" s="1" t="s">
        <v>201</v>
      </c>
      <c r="I16" s="20">
        <v>188</v>
      </c>
      <c r="J16" s="19">
        <v>154</v>
      </c>
      <c r="K16" s="5">
        <f>J16/(I16*I16)*10000</f>
        <v>43.571751923947488</v>
      </c>
      <c r="L16" s="4">
        <f>CONVERT(I16,"cm","in")</f>
        <v>74.015748031496059</v>
      </c>
      <c r="M16">
        <f>_xlfn.FLOOR.MATH(L16/12)</f>
        <v>6</v>
      </c>
      <c r="N16">
        <f>ROUND(L16-M16*12,1)</f>
        <v>2</v>
      </c>
      <c r="O16" t="str">
        <f>M16&amp;"' "&amp;N16&amp;""""</f>
        <v>6' 2"</v>
      </c>
      <c r="P16">
        <f>ROUND(CONVERT(J16,"kg","lbm"),0)</f>
        <v>340</v>
      </c>
      <c r="Q16">
        <f t="shared" si="0"/>
        <v>12</v>
      </c>
      <c r="R16">
        <f t="shared" si="0"/>
        <v>27</v>
      </c>
      <c r="S16">
        <f t="shared" si="0"/>
        <v>29</v>
      </c>
      <c r="T16">
        <f>_xlfn.XLOOKUP(A16,'January 2023 Data'!$A$4:$A$49,'January 2023 Data'!$H$4:$H$49,,0)</f>
        <v>187</v>
      </c>
      <c r="U16">
        <f t="shared" si="1"/>
        <v>1</v>
      </c>
    </row>
    <row r="17" spans="1:21">
      <c r="A17" s="1" t="s">
        <v>116</v>
      </c>
      <c r="B17" s="1">
        <v>2</v>
      </c>
      <c r="C17" s="1" t="s">
        <v>39</v>
      </c>
      <c r="D17" s="1" t="s">
        <v>31</v>
      </c>
      <c r="E17" s="1" t="s">
        <v>136</v>
      </c>
      <c r="F17" s="1" t="s">
        <v>137</v>
      </c>
      <c r="G17" s="1">
        <f>_xlfn.XLOOKUP(F17,'rank lookup'!$A$1:$A$21,'rank lookup'!$B$1:$B$21,,0)</f>
        <v>7</v>
      </c>
      <c r="H17" s="1"/>
      <c r="I17" s="19">
        <v>179</v>
      </c>
      <c r="J17" s="19">
        <v>170</v>
      </c>
      <c r="K17" s="5">
        <f>J17/(I17*I17)*10000</f>
        <v>53.057020692238069</v>
      </c>
      <c r="L17" s="4">
        <f>CONVERT(I17,"cm","in")</f>
        <v>70.472440944881896</v>
      </c>
      <c r="M17">
        <f>_xlfn.FLOOR.MATH(L17/12)</f>
        <v>5</v>
      </c>
      <c r="N17">
        <f>ROUND(L17-M17*12,1)</f>
        <v>10.5</v>
      </c>
      <c r="O17" t="str">
        <f>M17&amp;"' "&amp;N17&amp;""""</f>
        <v>5' 10.5"</v>
      </c>
      <c r="P17">
        <f>ROUND(CONVERT(J17,"kg","lbm"),0)</f>
        <v>375</v>
      </c>
      <c r="Q17">
        <f t="shared" si="0"/>
        <v>34</v>
      </c>
      <c r="R17">
        <f t="shared" si="0"/>
        <v>15</v>
      </c>
      <c r="S17">
        <f t="shared" si="0"/>
        <v>6</v>
      </c>
      <c r="T17">
        <f>_xlfn.XLOOKUP(A17,'January 2023 Data'!$A$4:$A$49,'January 2023 Data'!$H$4:$H$49,,0)</f>
        <v>179</v>
      </c>
      <c r="U17">
        <f t="shared" si="1"/>
        <v>0</v>
      </c>
    </row>
    <row r="18" spans="1:21" ht="25">
      <c r="A18" s="1" t="s">
        <v>138</v>
      </c>
      <c r="C18" s="1" t="s">
        <v>139</v>
      </c>
      <c r="D18" s="1" t="s">
        <v>141</v>
      </c>
      <c r="E18" s="1" t="s">
        <v>140</v>
      </c>
      <c r="F18" s="1" t="s">
        <v>137</v>
      </c>
      <c r="G18" s="1">
        <f>_xlfn.XLOOKUP(F18,'rank lookup'!$A$1:$A$21,'rank lookup'!$B$1:$B$21,,0)</f>
        <v>7</v>
      </c>
      <c r="H18" s="1" t="s">
        <v>202</v>
      </c>
      <c r="I18" s="19">
        <v>185</v>
      </c>
      <c r="J18" s="19">
        <v>176</v>
      </c>
      <c r="K18" s="5">
        <f>J18/(I18*I18)*10000</f>
        <v>51.424397370343314</v>
      </c>
      <c r="L18" s="4">
        <f>CONVERT(I18,"cm","in")</f>
        <v>72.834645669291348</v>
      </c>
      <c r="M18">
        <f>_xlfn.FLOOR.MATH(L18/12)</f>
        <v>6</v>
      </c>
      <c r="N18">
        <f>ROUND(L18-M18*12,1)</f>
        <v>0.8</v>
      </c>
      <c r="O18" t="str">
        <f>M18&amp;"' "&amp;N18&amp;""""</f>
        <v>6' 0.8"</v>
      </c>
      <c r="P18">
        <f>ROUND(CONVERT(J18,"kg","lbm"),0)</f>
        <v>388</v>
      </c>
      <c r="Q18">
        <f t="shared" si="0"/>
        <v>21</v>
      </c>
      <c r="R18">
        <f t="shared" si="0"/>
        <v>9</v>
      </c>
      <c r="S18">
        <f t="shared" si="0"/>
        <v>9</v>
      </c>
      <c r="T18">
        <f>_xlfn.XLOOKUP(A18,'January 2023 Data'!$A$4:$A$49,'January 2023 Data'!$H$4:$H$49,,0)</f>
        <v>184</v>
      </c>
      <c r="U18">
        <f t="shared" si="1"/>
        <v>1</v>
      </c>
    </row>
    <row r="19" spans="1:21">
      <c r="A19" s="1" t="s">
        <v>117</v>
      </c>
      <c r="B19" s="1"/>
      <c r="C19" s="1" t="s">
        <v>136</v>
      </c>
      <c r="D19" s="1" t="s">
        <v>136</v>
      </c>
      <c r="E19" s="1" t="s">
        <v>42</v>
      </c>
      <c r="F19" s="1" t="s">
        <v>139</v>
      </c>
      <c r="G19" s="1">
        <f>_xlfn.XLOOKUP(F19,'rank lookup'!$A$1:$A$21,'rank lookup'!$B$1:$B$21,,0)</f>
        <v>8</v>
      </c>
      <c r="H19" s="1"/>
      <c r="I19" s="19">
        <v>180</v>
      </c>
      <c r="J19" s="19">
        <v>154</v>
      </c>
      <c r="K19" s="5">
        <f>J19/(I19*I19)*10000</f>
        <v>47.530864197530867</v>
      </c>
      <c r="L19" s="4">
        <f>CONVERT(I19,"cm","in")</f>
        <v>70.866141732283467</v>
      </c>
      <c r="M19">
        <f>_xlfn.FLOOR.MATH(L19/12)</f>
        <v>5</v>
      </c>
      <c r="N19">
        <f>ROUND(L19-M19*12,1)</f>
        <v>10.9</v>
      </c>
      <c r="O19" t="str">
        <f>M19&amp;"' "&amp;N19&amp;""""</f>
        <v>5' 10.9"</v>
      </c>
      <c r="P19">
        <f>ROUND(CONVERT(J19,"kg","lbm"),0)</f>
        <v>340</v>
      </c>
      <c r="Q19">
        <f t="shared" si="0"/>
        <v>33</v>
      </c>
      <c r="R19">
        <f t="shared" si="0"/>
        <v>27</v>
      </c>
      <c r="S19">
        <f t="shared" si="0"/>
        <v>19</v>
      </c>
      <c r="T19">
        <f>_xlfn.XLOOKUP(A19,'January 2023 Data'!$A$4:$A$49,'January 2023 Data'!$H$4:$H$49,,0)</f>
        <v>180</v>
      </c>
      <c r="U19">
        <f t="shared" si="1"/>
        <v>0</v>
      </c>
    </row>
    <row r="20" spans="1:21" ht="25">
      <c r="A20" s="1" t="s">
        <v>120</v>
      </c>
      <c r="B20" s="1"/>
      <c r="C20" s="1" t="s">
        <v>135</v>
      </c>
      <c r="D20" s="1" t="s">
        <v>147</v>
      </c>
      <c r="E20" s="1" t="s">
        <v>142</v>
      </c>
      <c r="F20" s="1" t="s">
        <v>139</v>
      </c>
      <c r="G20" s="1">
        <f>_xlfn.XLOOKUP(F20,'rank lookup'!$A$1:$A$21,'rank lookup'!$B$1:$B$21,,0)</f>
        <v>8</v>
      </c>
      <c r="H20" s="1" t="s">
        <v>203</v>
      </c>
      <c r="I20" s="19">
        <v>177</v>
      </c>
      <c r="J20" s="19">
        <v>164</v>
      </c>
      <c r="K20" s="5">
        <f>J20/(I20*I20)*10000</f>
        <v>52.347665102620574</v>
      </c>
      <c r="L20" s="4">
        <f>CONVERT(I20,"cm","in")</f>
        <v>69.685039370078741</v>
      </c>
      <c r="M20">
        <f>_xlfn.FLOOR.MATH(L20/12)</f>
        <v>5</v>
      </c>
      <c r="N20">
        <f>ROUND(L20-M20*12,1)</f>
        <v>9.6999999999999993</v>
      </c>
      <c r="O20" t="str">
        <f>M20&amp;"' "&amp;N20&amp;""""</f>
        <v>5' 9.7"</v>
      </c>
      <c r="P20">
        <f>ROUND(CONVERT(J20,"kg","lbm"),0)</f>
        <v>362</v>
      </c>
      <c r="Q20">
        <f t="shared" si="0"/>
        <v>35</v>
      </c>
      <c r="R20">
        <f t="shared" si="0"/>
        <v>19</v>
      </c>
      <c r="S20">
        <f t="shared" si="0"/>
        <v>7</v>
      </c>
      <c r="T20">
        <f>_xlfn.XLOOKUP(A20,'January 2023 Data'!$A$4:$A$49,'January 2023 Data'!$H$4:$H$49,,0)</f>
        <v>178</v>
      </c>
      <c r="U20">
        <f t="shared" si="1"/>
        <v>-1</v>
      </c>
    </row>
    <row r="21" spans="1:21">
      <c r="A21" s="1" t="s">
        <v>133</v>
      </c>
      <c r="C21" t="s">
        <v>132</v>
      </c>
      <c r="D21" s="1" t="s">
        <v>137</v>
      </c>
      <c r="E21" s="1" t="s">
        <v>137</v>
      </c>
      <c r="F21" s="1" t="s">
        <v>140</v>
      </c>
      <c r="G21" s="1">
        <f>_xlfn.XLOOKUP(F21,'rank lookup'!$A$1:$A$21,'rank lookup'!$B$1:$B$21,,0)</f>
        <v>9</v>
      </c>
      <c r="H21" s="1"/>
      <c r="I21" s="19">
        <v>171</v>
      </c>
      <c r="J21" s="19">
        <v>117</v>
      </c>
      <c r="K21" s="5">
        <f>J21/(I21*I21)*10000</f>
        <v>40.012311480455523</v>
      </c>
      <c r="L21" s="4">
        <f>CONVERT(I21,"cm","in")</f>
        <v>67.322834645669289</v>
      </c>
      <c r="M21">
        <f>_xlfn.FLOOR.MATH(L21/12)</f>
        <v>5</v>
      </c>
      <c r="N21">
        <f>ROUND(L21-M21*12,1)</f>
        <v>7.3</v>
      </c>
      <c r="O21" t="str">
        <f>M21&amp;"' "&amp;N21&amp;""""</f>
        <v>5' 7.3"</v>
      </c>
      <c r="P21">
        <f>ROUND(CONVERT(J21,"kg","lbm"),0)</f>
        <v>258</v>
      </c>
      <c r="Q21">
        <f t="shared" si="0"/>
        <v>41</v>
      </c>
      <c r="R21">
        <f t="shared" si="0"/>
        <v>42</v>
      </c>
      <c r="S21">
        <f t="shared" si="0"/>
        <v>40</v>
      </c>
      <c r="T21">
        <f>_xlfn.XLOOKUP(A21,'January 2023 Data'!$A$4:$A$49,'January 2023 Data'!$H$4:$H$49,,0)</f>
        <v>171</v>
      </c>
      <c r="U21">
        <f t="shared" si="1"/>
        <v>0</v>
      </c>
    </row>
    <row r="22" spans="1:21" ht="25">
      <c r="A22" t="s">
        <v>146</v>
      </c>
      <c r="C22" s="1" t="s">
        <v>147</v>
      </c>
      <c r="D22" s="1" t="s">
        <v>147</v>
      </c>
      <c r="E22" s="1" t="s">
        <v>150</v>
      </c>
      <c r="F22" s="1" t="s">
        <v>140</v>
      </c>
      <c r="G22" s="1">
        <f>_xlfn.XLOOKUP(F22,'rank lookup'!$A$1:$A$21,'rank lookup'!$B$1:$B$21,,0)</f>
        <v>9</v>
      </c>
      <c r="H22" s="1" t="s">
        <v>204</v>
      </c>
      <c r="I22" s="19">
        <v>191</v>
      </c>
      <c r="J22" s="19">
        <v>163</v>
      </c>
      <c r="K22" s="5">
        <f>J22/(I22*I22)*10000</f>
        <v>44.680792741427041</v>
      </c>
      <c r="L22" s="4">
        <f>CONVERT(I22,"cm","in")</f>
        <v>75.196850393700785</v>
      </c>
      <c r="M22">
        <f>_xlfn.FLOOR.MATH(L22/12)</f>
        <v>6</v>
      </c>
      <c r="N22">
        <f>ROUND(L22-M22*12,1)</f>
        <v>3.2</v>
      </c>
      <c r="O22" t="str">
        <f>M22&amp;"' "&amp;N22&amp;""""</f>
        <v>6' 3.2"</v>
      </c>
      <c r="P22">
        <f>ROUND(CONVERT(J22,"kg","lbm"),0)</f>
        <v>359</v>
      </c>
      <c r="Q22">
        <f t="shared" si="0"/>
        <v>6</v>
      </c>
      <c r="R22">
        <f t="shared" si="0"/>
        <v>20</v>
      </c>
      <c r="S22">
        <f t="shared" si="0"/>
        <v>24</v>
      </c>
      <c r="T22">
        <f>_xlfn.XLOOKUP(A22,'January 2023 Data'!$A$4:$A$49,'January 2023 Data'!$H$4:$H$49,,0)</f>
        <v>189</v>
      </c>
      <c r="U22">
        <f t="shared" si="1"/>
        <v>2</v>
      </c>
    </row>
    <row r="23" spans="1:21">
      <c r="A23" s="1" t="s">
        <v>111</v>
      </c>
      <c r="B23" s="1"/>
      <c r="C23" s="1" t="s">
        <v>140</v>
      </c>
      <c r="D23" s="1" t="s">
        <v>139</v>
      </c>
      <c r="E23" s="1" t="s">
        <v>139</v>
      </c>
      <c r="F23" s="1" t="s">
        <v>141</v>
      </c>
      <c r="G23" s="1">
        <f>_xlfn.XLOOKUP(F23,'rank lookup'!$A$1:$A$21,'rank lookup'!$B$1:$B$21,,0)</f>
        <v>10</v>
      </c>
      <c r="H23" s="1"/>
      <c r="I23" s="19">
        <v>182</v>
      </c>
      <c r="J23" s="19">
        <v>142</v>
      </c>
      <c r="K23" s="5">
        <f>J23/(I23*I23)*10000</f>
        <v>42.869218693394522</v>
      </c>
      <c r="L23" s="4">
        <f>CONVERT(I23,"cm","in")</f>
        <v>71.653543307086608</v>
      </c>
      <c r="M23">
        <f>_xlfn.FLOOR.MATH(L23/12)</f>
        <v>5</v>
      </c>
      <c r="N23">
        <f>ROUND(L23-M23*12,1)</f>
        <v>11.7</v>
      </c>
      <c r="O23" t="str">
        <f>M23&amp;"' "&amp;N23&amp;""""</f>
        <v>5' 11.7"</v>
      </c>
      <c r="P23">
        <f>ROUND(CONVERT(J23,"kg","lbm"),0)</f>
        <v>313</v>
      </c>
      <c r="Q23">
        <f t="shared" si="0"/>
        <v>30</v>
      </c>
      <c r="R23">
        <f t="shared" si="0"/>
        <v>34</v>
      </c>
      <c r="S23">
        <f t="shared" si="0"/>
        <v>32</v>
      </c>
      <c r="T23">
        <f>_xlfn.XLOOKUP(A23,'January 2023 Data'!$A$4:$A$49,'January 2023 Data'!$H$4:$H$49,,0)</f>
        <v>182</v>
      </c>
      <c r="U23">
        <f t="shared" si="1"/>
        <v>0</v>
      </c>
    </row>
    <row r="24" spans="1:21" ht="25">
      <c r="A24" s="1" t="s">
        <v>99</v>
      </c>
      <c r="B24" s="1"/>
      <c r="C24" s="1" t="s">
        <v>141</v>
      </c>
      <c r="D24" s="1" t="s">
        <v>135</v>
      </c>
      <c r="E24" s="1" t="s">
        <v>143</v>
      </c>
      <c r="F24" s="1" t="s">
        <v>141</v>
      </c>
      <c r="G24" s="1">
        <f>_xlfn.XLOOKUP(F24,'rank lookup'!$A$1:$A$21,'rank lookup'!$B$1:$B$21,,0)</f>
        <v>10</v>
      </c>
      <c r="H24" s="1" t="s">
        <v>205</v>
      </c>
      <c r="I24" s="19">
        <v>184</v>
      </c>
      <c r="J24" s="19">
        <v>150</v>
      </c>
      <c r="K24" s="5">
        <f>J24/(I24*I24)*10000</f>
        <v>44.305293005671075</v>
      </c>
      <c r="L24" s="4">
        <f>CONVERT(I24,"cm","in")</f>
        <v>72.440944881889763</v>
      </c>
      <c r="M24">
        <f>_xlfn.FLOOR.MATH(L24/12)</f>
        <v>6</v>
      </c>
      <c r="N24">
        <f>ROUND(L24-M24*12,1)</f>
        <v>0.4</v>
      </c>
      <c r="O24" t="str">
        <f>M24&amp;"' "&amp;N24&amp;""""</f>
        <v>6' 0.4"</v>
      </c>
      <c r="P24">
        <f>ROUND(CONVERT(J24,"kg","lbm"),0)</f>
        <v>331</v>
      </c>
      <c r="Q24">
        <f t="shared" si="0"/>
        <v>24</v>
      </c>
      <c r="R24">
        <f t="shared" si="0"/>
        <v>29</v>
      </c>
      <c r="S24">
        <f t="shared" si="0"/>
        <v>25</v>
      </c>
      <c r="T24">
        <f>_xlfn.XLOOKUP(A24,'January 2023 Data'!$A$4:$A$49,'January 2023 Data'!$H$4:$H$49,,0)</f>
        <v>183</v>
      </c>
      <c r="U24">
        <f t="shared" si="1"/>
        <v>1</v>
      </c>
    </row>
    <row r="25" spans="1:21" ht="25">
      <c r="A25" s="1" t="s">
        <v>96</v>
      </c>
      <c r="B25" s="1"/>
      <c r="C25" s="1" t="s">
        <v>139</v>
      </c>
      <c r="D25" s="1" t="s">
        <v>132</v>
      </c>
      <c r="E25" s="1" t="s">
        <v>31</v>
      </c>
      <c r="F25" s="1" t="s">
        <v>135</v>
      </c>
      <c r="G25" s="1">
        <f>_xlfn.XLOOKUP(F25,'rank lookup'!$A$1:$A$21,'rank lookup'!$B$1:$B$21,,0)</f>
        <v>11</v>
      </c>
      <c r="H25" s="1" t="s">
        <v>206</v>
      </c>
      <c r="I25" s="19">
        <v>188</v>
      </c>
      <c r="J25" s="19">
        <v>177</v>
      </c>
      <c r="K25" s="5">
        <f>J25/(I25*I25)*10000</f>
        <v>50.079221367134451</v>
      </c>
      <c r="L25" s="4">
        <f>CONVERT(I25,"cm","in")</f>
        <v>74.015748031496059</v>
      </c>
      <c r="M25">
        <f>_xlfn.FLOOR.MATH(L25/12)</f>
        <v>6</v>
      </c>
      <c r="N25">
        <f>ROUND(L25-M25*12,1)</f>
        <v>2</v>
      </c>
      <c r="O25" t="str">
        <f>M25&amp;"' "&amp;N25&amp;""""</f>
        <v>6' 2"</v>
      </c>
      <c r="P25">
        <f>ROUND(CONVERT(J25,"kg","lbm"),0)</f>
        <v>390</v>
      </c>
      <c r="Q25">
        <f t="shared" si="0"/>
        <v>12</v>
      </c>
      <c r="R25">
        <f t="shared" si="0"/>
        <v>7</v>
      </c>
      <c r="S25">
        <f t="shared" si="0"/>
        <v>10</v>
      </c>
      <c r="T25">
        <f>_xlfn.XLOOKUP(A25,'January 2023 Data'!$A$4:$A$49,'January 2023 Data'!$H$4:$H$49,,0)</f>
        <v>186</v>
      </c>
      <c r="U25">
        <f t="shared" si="1"/>
        <v>2</v>
      </c>
    </row>
    <row r="26" spans="1:21">
      <c r="A26" s="1" t="s">
        <v>103</v>
      </c>
      <c r="B26" s="1"/>
      <c r="C26" s="1" t="s">
        <v>142</v>
      </c>
      <c r="D26" s="1" t="s">
        <v>140</v>
      </c>
      <c r="E26" s="1" t="s">
        <v>141</v>
      </c>
      <c r="F26" s="1" t="s">
        <v>135</v>
      </c>
      <c r="G26" s="1">
        <f>_xlfn.XLOOKUP(F26,'rank lookup'!$A$1:$A$21,'rank lookup'!$B$1:$B$21,,0)</f>
        <v>11</v>
      </c>
      <c r="H26" s="1"/>
      <c r="I26" s="19">
        <v>184</v>
      </c>
      <c r="J26" s="19">
        <v>159</v>
      </c>
      <c r="K26" s="5">
        <f>J26/(I26*I26)*10000</f>
        <v>46.963610586011342</v>
      </c>
      <c r="L26" s="4">
        <f>CONVERT(I26,"cm","in")</f>
        <v>72.440944881889763</v>
      </c>
      <c r="M26">
        <f>_xlfn.FLOOR.MATH(L26/12)</f>
        <v>6</v>
      </c>
      <c r="N26">
        <f>ROUND(L26-M26*12,1)</f>
        <v>0.4</v>
      </c>
      <c r="O26" t="str">
        <f>M26&amp;"' "&amp;N26&amp;""""</f>
        <v>6' 0.4"</v>
      </c>
      <c r="P26">
        <f>ROUND(CONVERT(J26,"kg","lbm"),0)</f>
        <v>351</v>
      </c>
      <c r="Q26">
        <f t="shared" si="0"/>
        <v>24</v>
      </c>
      <c r="R26">
        <f t="shared" si="0"/>
        <v>22</v>
      </c>
      <c r="S26">
        <f t="shared" si="0"/>
        <v>22</v>
      </c>
      <c r="T26">
        <f>_xlfn.XLOOKUP(A26,'January 2023 Data'!$A$4:$A$49,'January 2023 Data'!$H$4:$H$49,,0)</f>
        <v>184</v>
      </c>
      <c r="U26">
        <f t="shared" si="1"/>
        <v>0</v>
      </c>
    </row>
    <row r="27" spans="1:21">
      <c r="A27" s="1" t="s">
        <v>121</v>
      </c>
      <c r="B27" s="1"/>
      <c r="C27" s="1" t="s">
        <v>137</v>
      </c>
      <c r="D27" s="1" t="s">
        <v>137</v>
      </c>
      <c r="E27" s="1" t="s">
        <v>135</v>
      </c>
      <c r="F27" s="1" t="s">
        <v>142</v>
      </c>
      <c r="G27" s="1">
        <f>_xlfn.XLOOKUP(F27,'rank lookup'!$A$1:$A$21,'rank lookup'!$B$1:$B$21,,0)</f>
        <v>12</v>
      </c>
      <c r="H27" s="1"/>
      <c r="I27" s="19">
        <v>175</v>
      </c>
      <c r="J27" s="19">
        <v>146</v>
      </c>
      <c r="K27" s="5">
        <f>J27/(I27*I27)*10000</f>
        <v>47.673469387755098</v>
      </c>
      <c r="L27" s="4">
        <f>CONVERT(I27,"cm","in")</f>
        <v>68.897637795275585</v>
      </c>
      <c r="M27">
        <f>_xlfn.FLOOR.MATH(L27/12)</f>
        <v>5</v>
      </c>
      <c r="N27">
        <f>ROUND(L27-M27*12,1)</f>
        <v>8.9</v>
      </c>
      <c r="O27" t="str">
        <f>M27&amp;"' "&amp;N27&amp;""""</f>
        <v>5' 8.9"</v>
      </c>
      <c r="P27">
        <f>ROUND(CONVERT(J27,"kg","lbm"),0)</f>
        <v>322</v>
      </c>
      <c r="Q27">
        <f t="shared" si="0"/>
        <v>38</v>
      </c>
      <c r="R27">
        <f t="shared" si="0"/>
        <v>31</v>
      </c>
      <c r="S27">
        <f t="shared" si="0"/>
        <v>18</v>
      </c>
      <c r="T27">
        <f>_xlfn.XLOOKUP(A27,'January 2023 Data'!$A$4:$A$49,'January 2023 Data'!$H$4:$H$49,,0)</f>
        <v>175</v>
      </c>
      <c r="U27">
        <f t="shared" si="1"/>
        <v>0</v>
      </c>
    </row>
    <row r="28" spans="1:21">
      <c r="A28" s="1" t="s">
        <v>98</v>
      </c>
      <c r="B28" s="1"/>
      <c r="C28" s="1" t="s">
        <v>150</v>
      </c>
      <c r="D28" s="1" t="s">
        <v>151</v>
      </c>
      <c r="E28" s="1" t="s">
        <v>151</v>
      </c>
      <c r="F28" s="1" t="s">
        <v>142</v>
      </c>
      <c r="G28" s="1">
        <f>_xlfn.XLOOKUP(F28,'rank lookup'!$A$1:$A$21,'rank lookup'!$B$1:$B$21,,0)</f>
        <v>12</v>
      </c>
      <c r="H28" s="1"/>
      <c r="I28" s="19">
        <v>187</v>
      </c>
      <c r="J28" s="19">
        <v>146</v>
      </c>
      <c r="K28" s="5">
        <f>J28/(I28*I28)*10000</f>
        <v>41.751265406502903</v>
      </c>
      <c r="L28" s="4">
        <f>CONVERT(I28,"cm","in")</f>
        <v>73.622047244094489</v>
      </c>
      <c r="M28">
        <f>_xlfn.FLOOR.MATH(L28/12)</f>
        <v>6</v>
      </c>
      <c r="N28">
        <f>ROUND(L28-M28*12,1)</f>
        <v>1.6</v>
      </c>
      <c r="O28" t="str">
        <f>M28&amp;"' "&amp;N28&amp;""""</f>
        <v>6' 1.6"</v>
      </c>
      <c r="P28">
        <f>ROUND(CONVERT(J28,"kg","lbm"),0)</f>
        <v>322</v>
      </c>
      <c r="Q28">
        <f t="shared" si="0"/>
        <v>16</v>
      </c>
      <c r="R28">
        <f t="shared" si="0"/>
        <v>31</v>
      </c>
      <c r="S28">
        <f t="shared" si="0"/>
        <v>35</v>
      </c>
      <c r="T28">
        <f>_xlfn.XLOOKUP(A28,'January 2023 Data'!$A$4:$A$49,'January 2023 Data'!$H$4:$H$49,,0)</f>
        <v>187</v>
      </c>
      <c r="U28">
        <f t="shared" si="1"/>
        <v>0</v>
      </c>
    </row>
    <row r="29" spans="1:21" ht="25">
      <c r="A29" s="1" t="s">
        <v>91</v>
      </c>
      <c r="B29" s="1"/>
      <c r="C29" s="1" t="s">
        <v>135</v>
      </c>
      <c r="D29" s="1" t="s">
        <v>145</v>
      </c>
      <c r="E29" s="1" t="s">
        <v>145</v>
      </c>
      <c r="F29" s="1" t="s">
        <v>143</v>
      </c>
      <c r="G29" s="1">
        <f>_xlfn.XLOOKUP(F29,'rank lookup'!$A$1:$A$21,'rank lookup'!$B$1:$B$21,,0)</f>
        <v>13</v>
      </c>
      <c r="H29" s="1" t="s">
        <v>208</v>
      </c>
      <c r="I29" s="19">
        <v>191</v>
      </c>
      <c r="J29" s="19">
        <v>189</v>
      </c>
      <c r="K29" s="5">
        <f>J29/(I29*I29)*10000</f>
        <v>51.80779035662399</v>
      </c>
      <c r="L29" s="4">
        <f>CONVERT(I29,"cm","in")</f>
        <v>75.196850393700785</v>
      </c>
      <c r="M29">
        <f>_xlfn.FLOOR.MATH(L29/12)</f>
        <v>6</v>
      </c>
      <c r="N29">
        <f>ROUND(L29-M29*12,1)</f>
        <v>3.2</v>
      </c>
      <c r="O29" t="str">
        <f>M29&amp;"' "&amp;N29&amp;""""</f>
        <v>6' 3.2"</v>
      </c>
      <c r="P29">
        <f>ROUND(CONVERT(J29,"kg","lbm"),0)</f>
        <v>417</v>
      </c>
      <c r="Q29">
        <f t="shared" si="0"/>
        <v>6</v>
      </c>
      <c r="R29">
        <f t="shared" si="0"/>
        <v>3</v>
      </c>
      <c r="S29">
        <f t="shared" si="0"/>
        <v>8</v>
      </c>
      <c r="T29">
        <f>_xlfn.XLOOKUP(A29,'January 2023 Data'!$A$4:$A$49,'January 2023 Data'!$H$4:$H$49,,0)</f>
        <v>190</v>
      </c>
      <c r="U29">
        <f t="shared" si="1"/>
        <v>1</v>
      </c>
    </row>
    <row r="30" spans="1:21" ht="25">
      <c r="A30" t="s">
        <v>155</v>
      </c>
      <c r="C30" s="1" t="s">
        <v>154</v>
      </c>
      <c r="D30" s="1" t="s">
        <v>154</v>
      </c>
      <c r="E30" s="1" t="s">
        <v>145</v>
      </c>
      <c r="F30" s="1" t="s">
        <v>143</v>
      </c>
      <c r="G30" s="1">
        <f>_xlfn.XLOOKUP(F30,'rank lookup'!$A$1:$A$21,'rank lookup'!$B$1:$B$21,,0)</f>
        <v>13</v>
      </c>
      <c r="H30" s="1" t="s">
        <v>203</v>
      </c>
      <c r="I30" s="19">
        <v>177</v>
      </c>
      <c r="J30" s="19">
        <v>135</v>
      </c>
      <c r="K30" s="5">
        <f>J30/(I30*I30)*10000</f>
        <v>43.091065785693765</v>
      </c>
      <c r="L30" s="4">
        <f>CONVERT(I30,"cm","in")</f>
        <v>69.685039370078741</v>
      </c>
      <c r="M30">
        <f>_xlfn.FLOOR.MATH(L30/12)</f>
        <v>5</v>
      </c>
      <c r="N30">
        <f>ROUND(L30-M30*12,1)</f>
        <v>9.6999999999999993</v>
      </c>
      <c r="O30" t="str">
        <f>M30&amp;"' "&amp;N30&amp;""""</f>
        <v>5' 9.7"</v>
      </c>
      <c r="P30">
        <f>ROUND(CONVERT(J30,"kg","lbm"),0)</f>
        <v>298</v>
      </c>
      <c r="Q30">
        <f t="shared" si="0"/>
        <v>35</v>
      </c>
      <c r="R30">
        <f t="shared" si="0"/>
        <v>38</v>
      </c>
      <c r="S30">
        <f t="shared" si="0"/>
        <v>31</v>
      </c>
      <c r="T30">
        <f>_xlfn.XLOOKUP(A30,'January 2023 Data'!$A$4:$A$49,'January 2023 Data'!$H$4:$H$49,,0)</f>
        <v>178</v>
      </c>
      <c r="U30">
        <f t="shared" si="1"/>
        <v>-1</v>
      </c>
    </row>
    <row r="31" spans="1:21">
      <c r="A31" t="s">
        <v>144</v>
      </c>
      <c r="C31" s="1" t="s">
        <v>145</v>
      </c>
      <c r="D31" s="1" t="s">
        <v>140</v>
      </c>
      <c r="E31" s="1" t="s">
        <v>139</v>
      </c>
      <c r="F31" s="1" t="s">
        <v>145</v>
      </c>
      <c r="G31" s="1">
        <f>_xlfn.XLOOKUP(F31,'rank lookup'!$A$1:$A$21,'rank lookup'!$B$1:$B$21,,0)</f>
        <v>14</v>
      </c>
      <c r="H31" s="1"/>
      <c r="I31" s="19">
        <v>184</v>
      </c>
      <c r="J31" s="19">
        <v>150</v>
      </c>
      <c r="K31" s="5">
        <f>J31/(I31*I31)*10000</f>
        <v>44.305293005671075</v>
      </c>
      <c r="L31" s="4">
        <f>CONVERT(I31,"cm","in")</f>
        <v>72.440944881889763</v>
      </c>
      <c r="M31">
        <f>_xlfn.FLOOR.MATH(L31/12)</f>
        <v>6</v>
      </c>
      <c r="N31">
        <f>ROUND(L31-M31*12,1)</f>
        <v>0.4</v>
      </c>
      <c r="O31" t="str">
        <f>M31&amp;"' "&amp;N31&amp;""""</f>
        <v>6' 0.4"</v>
      </c>
      <c r="P31">
        <f>ROUND(CONVERT(J31,"kg","lbm"),0)</f>
        <v>331</v>
      </c>
      <c r="Q31">
        <f t="shared" si="0"/>
        <v>24</v>
      </c>
      <c r="R31">
        <f t="shared" si="0"/>
        <v>29</v>
      </c>
      <c r="S31">
        <f t="shared" si="0"/>
        <v>25</v>
      </c>
      <c r="T31">
        <f>_xlfn.XLOOKUP(A31,'January 2023 Data'!$A$4:$A$49,'January 2023 Data'!$H$4:$H$49,,0)</f>
        <v>184</v>
      </c>
      <c r="U31">
        <f t="shared" si="1"/>
        <v>0</v>
      </c>
    </row>
    <row r="32" spans="1:21" ht="25">
      <c r="A32" s="1" t="s">
        <v>97</v>
      </c>
      <c r="B32" s="1"/>
      <c r="C32" s="1" t="s">
        <v>143</v>
      </c>
      <c r="D32" s="1" t="s">
        <v>135</v>
      </c>
      <c r="E32" s="1" t="s">
        <v>141</v>
      </c>
      <c r="F32" s="1" t="s">
        <v>145</v>
      </c>
      <c r="G32" s="1">
        <f>_xlfn.XLOOKUP(F32,'rank lookup'!$A$1:$A$21,'rank lookup'!$B$1:$B$21,,0)</f>
        <v>14</v>
      </c>
      <c r="H32" s="1" t="s">
        <v>207</v>
      </c>
      <c r="I32" s="19">
        <v>188</v>
      </c>
      <c r="J32" s="19">
        <v>156</v>
      </c>
      <c r="K32" s="5">
        <f>J32/(I32*I32)*10000</f>
        <v>44.137618832050705</v>
      </c>
      <c r="L32" s="4">
        <f>CONVERT(I32,"cm","in")</f>
        <v>74.015748031496059</v>
      </c>
      <c r="M32">
        <f>_xlfn.FLOOR.MATH(L32/12)</f>
        <v>6</v>
      </c>
      <c r="N32">
        <f>ROUND(L32-M32*12,1)</f>
        <v>2</v>
      </c>
      <c r="O32" t="str">
        <f>M32&amp;"' "&amp;N32&amp;""""</f>
        <v>6' 2"</v>
      </c>
      <c r="P32">
        <f>ROUND(CONVERT(J32,"kg","lbm"),0)</f>
        <v>344</v>
      </c>
      <c r="Q32">
        <f t="shared" si="0"/>
        <v>12</v>
      </c>
      <c r="R32">
        <f t="shared" si="0"/>
        <v>24</v>
      </c>
      <c r="S32">
        <f t="shared" si="0"/>
        <v>27</v>
      </c>
      <c r="T32">
        <f>_xlfn.XLOOKUP(A32,'January 2023 Data'!$A$4:$A$49,'January 2023 Data'!$H$4:$H$49,,0)</f>
        <v>189</v>
      </c>
      <c r="U32">
        <f t="shared" si="1"/>
        <v>-1</v>
      </c>
    </row>
    <row r="33" spans="1:21" ht="25">
      <c r="A33" s="1" t="s">
        <v>101</v>
      </c>
      <c r="B33" s="1"/>
      <c r="C33" s="1" t="s">
        <v>145</v>
      </c>
      <c r="D33" s="1" t="s">
        <v>143</v>
      </c>
      <c r="E33" s="1" t="s">
        <v>143</v>
      </c>
      <c r="F33" s="1" t="s">
        <v>147</v>
      </c>
      <c r="G33" s="1">
        <f>_xlfn.XLOOKUP(F33,'rank lookup'!$A$1:$A$21,'rank lookup'!$B$1:$B$21,,0)</f>
        <v>15</v>
      </c>
      <c r="H33" s="1" t="s">
        <v>209</v>
      </c>
      <c r="I33" s="19">
        <v>183</v>
      </c>
      <c r="J33" s="19">
        <v>165</v>
      </c>
      <c r="K33" s="5">
        <f>J33/(I33*I33)*10000</f>
        <v>49.269909522529787</v>
      </c>
      <c r="L33" s="4">
        <f>CONVERT(I33,"cm","in")</f>
        <v>72.047244094488192</v>
      </c>
      <c r="M33">
        <f>_xlfn.FLOOR.MATH(L33/12)</f>
        <v>6</v>
      </c>
      <c r="N33">
        <f>ROUND(L33-M33*12,1)</f>
        <v>0</v>
      </c>
      <c r="O33" t="str">
        <f>M33&amp;"' "&amp;N33&amp;""""</f>
        <v>6' 0"</v>
      </c>
      <c r="P33">
        <f>ROUND(CONVERT(J33,"kg","lbm"),0)</f>
        <v>364</v>
      </c>
      <c r="Q33">
        <f t="shared" si="0"/>
        <v>29</v>
      </c>
      <c r="R33">
        <f t="shared" si="0"/>
        <v>16</v>
      </c>
      <c r="S33">
        <f t="shared" si="0"/>
        <v>14</v>
      </c>
      <c r="T33">
        <f>_xlfn.XLOOKUP(A33,'January 2023 Data'!$A$4:$A$49,'January 2023 Data'!$H$4:$H$49,,0)</f>
        <v>184</v>
      </c>
      <c r="U33">
        <f t="shared" si="1"/>
        <v>-1</v>
      </c>
    </row>
    <row r="34" spans="1:21" ht="25">
      <c r="A34" s="1" t="s">
        <v>166</v>
      </c>
      <c r="D34" t="s">
        <v>151</v>
      </c>
      <c r="E34" s="1" t="s">
        <v>151</v>
      </c>
      <c r="F34" s="1" t="s">
        <v>147</v>
      </c>
      <c r="G34" s="1">
        <f>_xlfn.XLOOKUP(F34,'rank lookup'!$A$1:$A$21,'rank lookup'!$B$1:$B$21,,0)</f>
        <v>15</v>
      </c>
      <c r="H34" s="1" t="s">
        <v>210</v>
      </c>
      <c r="I34" s="19">
        <v>192</v>
      </c>
      <c r="J34" s="19">
        <v>159</v>
      </c>
      <c r="K34" s="5">
        <f>J34/(I34*I34)*10000</f>
        <v>43.131510416666671</v>
      </c>
      <c r="L34" s="4">
        <f>CONVERT(I34,"cm","in")</f>
        <v>75.59055118110237</v>
      </c>
      <c r="M34">
        <f>_xlfn.FLOOR.MATH(L34/12)</f>
        <v>6</v>
      </c>
      <c r="N34">
        <f>ROUND(L34-M34*12,1)</f>
        <v>3.6</v>
      </c>
      <c r="O34" t="str">
        <f>M34&amp;"' "&amp;N34&amp;""""</f>
        <v>6' 3.6"</v>
      </c>
      <c r="P34">
        <f>ROUND(CONVERT(J34,"kg","lbm"),0)</f>
        <v>351</v>
      </c>
      <c r="Q34">
        <f t="shared" si="0"/>
        <v>3</v>
      </c>
      <c r="R34">
        <f t="shared" si="0"/>
        <v>22</v>
      </c>
      <c r="S34">
        <f t="shared" si="0"/>
        <v>30</v>
      </c>
      <c r="T34">
        <f>_xlfn.XLOOKUP(A34,'January 2023 Data'!$A$4:$A$49,'January 2023 Data'!$H$4:$H$49,,0)</f>
        <v>191</v>
      </c>
      <c r="U34">
        <f t="shared" si="1"/>
        <v>1</v>
      </c>
    </row>
    <row r="35" spans="1:21">
      <c r="A35" s="1" t="s">
        <v>167</v>
      </c>
      <c r="D35" t="s">
        <v>152</v>
      </c>
      <c r="E35" t="s">
        <v>148</v>
      </c>
      <c r="F35" t="s">
        <v>148</v>
      </c>
      <c r="G35" s="1">
        <f>_xlfn.XLOOKUP(F35,'rank lookup'!$A$1:$A$21,'rank lookup'!$B$1:$B$21,,0)</f>
        <v>16</v>
      </c>
      <c r="I35" s="19">
        <v>193</v>
      </c>
      <c r="J35" s="19">
        <v>156</v>
      </c>
      <c r="K35" s="5">
        <f>J35/(I35*I35)*10000</f>
        <v>41.880318934736501</v>
      </c>
      <c r="L35" s="4">
        <f>CONVERT(I35,"cm","in")</f>
        <v>75.984251968503941</v>
      </c>
      <c r="M35">
        <f>_xlfn.FLOOR.MATH(L35/12)</f>
        <v>6</v>
      </c>
      <c r="N35">
        <f>ROUND(L35-M35*12,1)</f>
        <v>4</v>
      </c>
      <c r="O35" t="str">
        <f>M35&amp;"' "&amp;N35&amp;""""</f>
        <v>6' 4"</v>
      </c>
      <c r="P35">
        <f>ROUND(CONVERT(J35,"kg","lbm"),0)</f>
        <v>344</v>
      </c>
      <c r="Q35">
        <f t="shared" si="0"/>
        <v>2</v>
      </c>
      <c r="R35">
        <f t="shared" si="0"/>
        <v>24</v>
      </c>
      <c r="S35">
        <f t="shared" si="0"/>
        <v>34</v>
      </c>
      <c r="T35">
        <f>_xlfn.XLOOKUP(A35,'January 2023 Data'!$A$4:$A$49,'January 2023 Data'!$H$4:$H$49,,0)</f>
        <v>193</v>
      </c>
      <c r="U35">
        <f t="shared" si="1"/>
        <v>0</v>
      </c>
    </row>
    <row r="36" spans="1:21">
      <c r="A36" s="1" t="s">
        <v>104</v>
      </c>
      <c r="B36" s="1"/>
      <c r="C36" s="1" t="s">
        <v>140</v>
      </c>
      <c r="D36" s="1" t="s">
        <v>142</v>
      </c>
      <c r="E36" s="1" t="s">
        <v>154</v>
      </c>
      <c r="F36" s="1" t="s">
        <v>148</v>
      </c>
      <c r="G36" s="1">
        <f>_xlfn.XLOOKUP(F36,'rank lookup'!$A$1:$A$21,'rank lookup'!$B$1:$B$21,,0)</f>
        <v>16</v>
      </c>
      <c r="H36" s="1"/>
      <c r="I36" s="19">
        <v>186</v>
      </c>
      <c r="J36" s="19">
        <v>171</v>
      </c>
      <c r="K36" s="5">
        <f>J36/(I36*I36)*10000</f>
        <v>49.427679500520291</v>
      </c>
      <c r="L36" s="4">
        <f>CONVERT(I36,"cm","in")</f>
        <v>73.228346456692918</v>
      </c>
      <c r="M36">
        <f>_xlfn.FLOOR.MATH(L36/12)</f>
        <v>6</v>
      </c>
      <c r="N36">
        <f>ROUND(L36-M36*12,1)</f>
        <v>1.2</v>
      </c>
      <c r="O36" t="str">
        <f>M36&amp;"' "&amp;N36&amp;""""</f>
        <v>6' 1.2"</v>
      </c>
      <c r="P36">
        <f>ROUND(CONVERT(J36,"kg","lbm"),0)</f>
        <v>377</v>
      </c>
      <c r="Q36">
        <f t="shared" si="0"/>
        <v>18</v>
      </c>
      <c r="R36">
        <f t="shared" si="0"/>
        <v>13</v>
      </c>
      <c r="S36">
        <f t="shared" si="0"/>
        <v>12</v>
      </c>
      <c r="T36">
        <f>_xlfn.XLOOKUP(A36,'January 2023 Data'!$A$4:$A$49,'January 2023 Data'!$H$4:$H$49,,0)</f>
        <v>186</v>
      </c>
      <c r="U36">
        <f t="shared" si="1"/>
        <v>0</v>
      </c>
    </row>
    <row r="37" spans="1:21">
      <c r="A37" s="1" t="s">
        <v>122</v>
      </c>
      <c r="B37" s="1"/>
      <c r="C37" s="1" t="s">
        <v>143</v>
      </c>
      <c r="D37" s="1" t="s">
        <v>148</v>
      </c>
      <c r="E37" s="1" t="s">
        <v>150</v>
      </c>
      <c r="F37" s="1" t="s">
        <v>150</v>
      </c>
      <c r="G37" s="1">
        <f>_xlfn.XLOOKUP(F37,'rank lookup'!$A$1:$A$21,'rank lookup'!$B$1:$B$21,,0)</f>
        <v>17</v>
      </c>
      <c r="H37" s="1"/>
      <c r="I37" s="19">
        <v>176</v>
      </c>
      <c r="J37" s="19">
        <v>129</v>
      </c>
      <c r="K37" s="5">
        <f>J37/(I37*I37)*10000</f>
        <v>41.645144628099175</v>
      </c>
      <c r="L37" s="4">
        <f>CONVERT(I37,"cm","in")</f>
        <v>69.29133858267717</v>
      </c>
      <c r="M37">
        <f>_xlfn.FLOOR.MATH(L37/12)</f>
        <v>5</v>
      </c>
      <c r="N37">
        <f>ROUND(L37-M37*12,1)</f>
        <v>9.3000000000000007</v>
      </c>
      <c r="O37" t="str">
        <f>M37&amp;"' "&amp;N37&amp;""""</f>
        <v>5' 9.3"</v>
      </c>
      <c r="P37">
        <f>ROUND(CONVERT(J37,"kg","lbm"),0)</f>
        <v>284</v>
      </c>
      <c r="Q37">
        <f t="shared" si="0"/>
        <v>37</v>
      </c>
      <c r="R37">
        <f t="shared" si="0"/>
        <v>41</v>
      </c>
      <c r="S37">
        <f t="shared" si="0"/>
        <v>36</v>
      </c>
      <c r="T37">
        <f>_xlfn.XLOOKUP(A37,'January 2023 Data'!$A$4:$A$49,'January 2023 Data'!$H$4:$H$49,,0)</f>
        <v>176</v>
      </c>
      <c r="U37">
        <f t="shared" si="1"/>
        <v>0</v>
      </c>
    </row>
    <row r="38" spans="1:21">
      <c r="A38" s="1" t="s">
        <v>188</v>
      </c>
      <c r="F38" t="s">
        <v>150</v>
      </c>
      <c r="G38" s="1">
        <f>_xlfn.XLOOKUP(F38,'rank lookup'!$A$1:$A$21,'rank lookup'!$B$1:$B$21,,0)</f>
        <v>17</v>
      </c>
      <c r="I38" s="19">
        <v>185</v>
      </c>
      <c r="J38" s="19">
        <v>189</v>
      </c>
      <c r="K38" s="5">
        <f>J38/(I38*I38)*10000</f>
        <v>55.22279035792549</v>
      </c>
      <c r="L38" s="4">
        <f>CONVERT(I38,"cm","in")</f>
        <v>72.834645669291348</v>
      </c>
      <c r="M38">
        <f>_xlfn.FLOOR.MATH(L38/12)</f>
        <v>6</v>
      </c>
      <c r="N38">
        <f>ROUND(L38-M38*12,1)</f>
        <v>0.8</v>
      </c>
      <c r="O38" t="str">
        <f>M38&amp;"' "&amp;N38&amp;""""</f>
        <v>6' 0.8"</v>
      </c>
      <c r="P38">
        <f>ROUND(CONVERT(J38,"kg","lbm"),0)</f>
        <v>417</v>
      </c>
      <c r="Q38">
        <f t="shared" si="0"/>
        <v>21</v>
      </c>
      <c r="R38">
        <f t="shared" si="0"/>
        <v>3</v>
      </c>
      <c r="S38">
        <f t="shared" si="0"/>
        <v>3</v>
      </c>
      <c r="T38" t="e">
        <f>_xlfn.XLOOKUP(A38,'January 2023 Data'!$A$4:$A$49,'January 2023 Data'!$H$4:$H$49,,0)</f>
        <v>#N/A</v>
      </c>
      <c r="U38" t="e">
        <f t="shared" si="1"/>
        <v>#N/A</v>
      </c>
    </row>
    <row r="39" spans="1:21">
      <c r="A39" s="1" t="s">
        <v>189</v>
      </c>
      <c r="F39" t="s">
        <v>151</v>
      </c>
      <c r="G39" s="1">
        <f>_xlfn.XLOOKUP(F39,'rank lookup'!$A$1:$A$21,'rank lookup'!$B$1:$B$21,,0)</f>
        <v>18</v>
      </c>
      <c r="I39" s="19">
        <v>192</v>
      </c>
      <c r="J39" s="19">
        <v>174</v>
      </c>
      <c r="K39" s="5">
        <f>J39/(I39*I39)*10000</f>
        <v>47.200520833333329</v>
      </c>
      <c r="L39" s="4">
        <f>CONVERT(I39,"cm","in")</f>
        <v>75.59055118110237</v>
      </c>
      <c r="M39">
        <f>_xlfn.FLOOR.MATH(L39/12)</f>
        <v>6</v>
      </c>
      <c r="N39">
        <f>ROUND(L39-M39*12,1)</f>
        <v>3.6</v>
      </c>
      <c r="O39" t="str">
        <f>M39&amp;"' "&amp;N39&amp;""""</f>
        <v>6' 3.6"</v>
      </c>
      <c r="P39">
        <f>ROUND(CONVERT(J39,"kg","lbm"),0)</f>
        <v>384</v>
      </c>
      <c r="Q39">
        <f t="shared" si="0"/>
        <v>3</v>
      </c>
      <c r="R39">
        <f t="shared" si="0"/>
        <v>10</v>
      </c>
      <c r="S39">
        <f t="shared" si="0"/>
        <v>21</v>
      </c>
      <c r="T39" t="e">
        <f>_xlfn.XLOOKUP(A39,'January 2023 Data'!$A$4:$A$49,'January 2023 Data'!$H$4:$H$49,,0)</f>
        <v>#N/A</v>
      </c>
      <c r="U39" t="e">
        <f t="shared" si="1"/>
        <v>#N/A</v>
      </c>
    </row>
    <row r="40" spans="1:21">
      <c r="A40" s="1" t="s">
        <v>190</v>
      </c>
      <c r="F40" t="s">
        <v>151</v>
      </c>
      <c r="G40" s="1">
        <f>_xlfn.XLOOKUP(F40,'rank lookup'!$A$1:$A$21,'rank lookup'!$B$1:$B$21,,0)</f>
        <v>18</v>
      </c>
      <c r="I40" s="19">
        <v>171</v>
      </c>
      <c r="J40" s="19">
        <v>171</v>
      </c>
      <c r="K40" s="5">
        <f>J40/(I40*I40)*10000</f>
        <v>58.479532163742689</v>
      </c>
      <c r="L40" s="4">
        <f>CONVERT(I40,"cm","in")</f>
        <v>67.322834645669289</v>
      </c>
      <c r="M40">
        <f>_xlfn.FLOOR.MATH(L40/12)</f>
        <v>5</v>
      </c>
      <c r="N40">
        <f>ROUND(L40-M40*12,1)</f>
        <v>7.3</v>
      </c>
      <c r="O40" t="str">
        <f>M40&amp;"' "&amp;N40&amp;""""</f>
        <v>5' 7.3"</v>
      </c>
      <c r="P40">
        <f>ROUND(CONVERT(J40,"kg","lbm"),0)</f>
        <v>377</v>
      </c>
      <c r="Q40">
        <f t="shared" si="0"/>
        <v>41</v>
      </c>
      <c r="R40">
        <f t="shared" si="0"/>
        <v>13</v>
      </c>
      <c r="S40">
        <f t="shared" si="0"/>
        <v>1</v>
      </c>
      <c r="T40" t="e">
        <f>_xlfn.XLOOKUP(A40,'January 2023 Data'!$A$4:$A$49,'January 2023 Data'!$H$4:$H$49,,0)</f>
        <v>#N/A</v>
      </c>
      <c r="U40" t="e">
        <f t="shared" si="1"/>
        <v>#N/A</v>
      </c>
    </row>
    <row r="41" spans="1:21" ht="25">
      <c r="A41" s="1" t="s">
        <v>88</v>
      </c>
      <c r="B41" s="1"/>
      <c r="C41" s="1" t="s">
        <v>150</v>
      </c>
      <c r="D41" s="1" t="s">
        <v>150</v>
      </c>
      <c r="E41" s="1" t="s">
        <v>142</v>
      </c>
      <c r="F41" s="1" t="s">
        <v>152</v>
      </c>
      <c r="G41" s="1">
        <f>_xlfn.XLOOKUP(F41,'rank lookup'!$A$1:$A$21,'rank lookup'!$B$1:$B$21,,0)</f>
        <v>19</v>
      </c>
      <c r="H41" s="1" t="s">
        <v>211</v>
      </c>
      <c r="I41" s="19">
        <v>190</v>
      </c>
      <c r="J41" s="19">
        <v>178</v>
      </c>
      <c r="K41" s="5">
        <f>J41/(I41*I41)*10000</f>
        <v>49.307479224376735</v>
      </c>
      <c r="L41" s="4">
        <f>CONVERT(I41,"cm","in")</f>
        <v>74.803149606299215</v>
      </c>
      <c r="M41">
        <f>_xlfn.FLOOR.MATH(L41/12)</f>
        <v>6</v>
      </c>
      <c r="N41">
        <f>ROUND(L41-M41*12,1)</f>
        <v>2.8</v>
      </c>
      <c r="O41" t="str">
        <f>M41&amp;"' "&amp;N41&amp;""""</f>
        <v>6' 2.8"</v>
      </c>
      <c r="P41">
        <f>ROUND(CONVERT(J41,"kg","lbm"),0)</f>
        <v>392</v>
      </c>
      <c r="Q41">
        <f t="shared" si="0"/>
        <v>8</v>
      </c>
      <c r="R41">
        <f t="shared" si="0"/>
        <v>6</v>
      </c>
      <c r="S41">
        <f t="shared" si="0"/>
        <v>13</v>
      </c>
      <c r="T41">
        <f>_xlfn.XLOOKUP(A41,'January 2023 Data'!$A$4:$A$49,'January 2023 Data'!$H$4:$H$49,,0)</f>
        <v>189</v>
      </c>
      <c r="U41">
        <f t="shared" si="1"/>
        <v>1</v>
      </c>
    </row>
    <row r="42" spans="1:21">
      <c r="A42" s="1" t="s">
        <v>191</v>
      </c>
      <c r="F42" t="s">
        <v>152</v>
      </c>
      <c r="G42" s="1">
        <f>_xlfn.XLOOKUP(F42,'rank lookup'!$A$1:$A$21,'rank lookup'!$B$1:$B$21,,0)</f>
        <v>19</v>
      </c>
      <c r="I42" s="19">
        <v>204</v>
      </c>
      <c r="J42" s="19">
        <v>177</v>
      </c>
      <c r="K42" s="5">
        <f>J42/(I42*I42)*10000</f>
        <v>42.531718569780857</v>
      </c>
      <c r="L42" s="4">
        <f>CONVERT(I42,"cm","in")</f>
        <v>80.314960629921259</v>
      </c>
      <c r="M42">
        <f>_xlfn.FLOOR.MATH(L42/12)</f>
        <v>6</v>
      </c>
      <c r="N42">
        <f>ROUND(L42-M42*12,1)</f>
        <v>8.3000000000000007</v>
      </c>
      <c r="O42" t="str">
        <f>M42&amp;"' "&amp;N42&amp;""""</f>
        <v>6' 8.3"</v>
      </c>
      <c r="P42">
        <f>ROUND(CONVERT(J42,"kg","lbm"),0)</f>
        <v>390</v>
      </c>
      <c r="Q42">
        <f t="shared" si="0"/>
        <v>1</v>
      </c>
      <c r="R42">
        <f t="shared" si="0"/>
        <v>7</v>
      </c>
      <c r="S42">
        <f t="shared" si="0"/>
        <v>33</v>
      </c>
      <c r="T42" t="e">
        <f>_xlfn.XLOOKUP(A42,'January 2023 Data'!$A$4:$A$49,'January 2023 Data'!$H$4:$H$49,,0)</f>
        <v>#N/A</v>
      </c>
      <c r="U42" t="e">
        <f t="shared" si="1"/>
        <v>#N/A</v>
      </c>
    </row>
    <row r="43" spans="1:21" ht="25">
      <c r="A43" s="1" t="s">
        <v>110</v>
      </c>
      <c r="B43" s="1"/>
      <c r="C43" s="1" t="s">
        <v>151</v>
      </c>
      <c r="D43" s="1" t="s">
        <v>145</v>
      </c>
      <c r="E43" s="1" t="s">
        <v>147</v>
      </c>
      <c r="F43" s="1" t="s">
        <v>154</v>
      </c>
      <c r="G43" s="1">
        <f>_xlfn.XLOOKUP(F43,'rank lookup'!$A$1:$A$21,'rank lookup'!$B$1:$B$21,,0)</f>
        <v>20</v>
      </c>
      <c r="H43" s="1" t="s">
        <v>205</v>
      </c>
      <c r="I43" s="19">
        <v>184</v>
      </c>
      <c r="J43" s="19">
        <v>137</v>
      </c>
      <c r="K43" s="5">
        <f>J43/(I43*I43)*10000</f>
        <v>40.465500945179578</v>
      </c>
      <c r="L43" s="4">
        <f>CONVERT(I43,"cm","in")</f>
        <v>72.440944881889763</v>
      </c>
      <c r="M43">
        <f>_xlfn.FLOOR.MATH(L43/12)</f>
        <v>6</v>
      </c>
      <c r="N43">
        <f>ROUND(L43-M43*12,1)</f>
        <v>0.4</v>
      </c>
      <c r="O43" t="str">
        <f>M43&amp;"' "&amp;N43&amp;""""</f>
        <v>6' 0.4"</v>
      </c>
      <c r="P43">
        <f>ROUND(CONVERT(J43,"kg","lbm"),0)</f>
        <v>302</v>
      </c>
      <c r="Q43">
        <f t="shared" si="0"/>
        <v>24</v>
      </c>
      <c r="R43">
        <f t="shared" si="0"/>
        <v>37</v>
      </c>
      <c r="S43">
        <f t="shared" si="0"/>
        <v>39</v>
      </c>
      <c r="T43">
        <f>_xlfn.XLOOKUP(A43,'January 2023 Data'!$A$4:$A$49,'January 2023 Data'!$H$4:$H$49,,0)</f>
        <v>183</v>
      </c>
      <c r="U43">
        <f t="shared" si="1"/>
        <v>1</v>
      </c>
    </row>
    <row r="44" spans="1:21" ht="25">
      <c r="A44" s="1" t="s">
        <v>108</v>
      </c>
      <c r="B44" s="1"/>
      <c r="C44" s="1" t="s">
        <v>152</v>
      </c>
      <c r="D44" s="1" t="s">
        <v>170</v>
      </c>
      <c r="E44" s="1" t="s">
        <v>152</v>
      </c>
      <c r="F44" s="1" t="s">
        <v>154</v>
      </c>
      <c r="G44" s="1">
        <f>_xlfn.XLOOKUP(F44,'rank lookup'!$A$1:$A$21,'rank lookup'!$B$1:$B$21,,0)</f>
        <v>20</v>
      </c>
      <c r="H44" s="1" t="s">
        <v>202</v>
      </c>
      <c r="I44" s="19">
        <v>185</v>
      </c>
      <c r="J44" s="19">
        <v>200</v>
      </c>
      <c r="K44" s="5">
        <f>J44/(I44*I44)*10000</f>
        <v>58.436815193571952</v>
      </c>
      <c r="L44" s="4">
        <f>CONVERT(I44,"cm","in")</f>
        <v>72.834645669291348</v>
      </c>
      <c r="M44">
        <f>_xlfn.FLOOR.MATH(L44/12)</f>
        <v>6</v>
      </c>
      <c r="N44">
        <f>ROUND(L44-M44*12,1)</f>
        <v>0.8</v>
      </c>
      <c r="O44" t="str">
        <f>M44&amp;"' "&amp;N44&amp;""""</f>
        <v>6' 0.8"</v>
      </c>
      <c r="P44">
        <f>ROUND(CONVERT(J44,"kg","lbm"),0)</f>
        <v>441</v>
      </c>
      <c r="Q44">
        <f t="shared" si="0"/>
        <v>21</v>
      </c>
      <c r="R44">
        <f t="shared" si="0"/>
        <v>1</v>
      </c>
      <c r="S44">
        <f t="shared" si="0"/>
        <v>2</v>
      </c>
      <c r="T44">
        <f>_xlfn.XLOOKUP(A44,'January 2023 Data'!$A$4:$A$49,'January 2023 Data'!$H$4:$H$49,,0)</f>
        <v>184</v>
      </c>
      <c r="U44">
        <f t="shared" si="1"/>
        <v>1</v>
      </c>
    </row>
    <row r="45" spans="1:21" ht="25">
      <c r="A45" t="s">
        <v>153</v>
      </c>
      <c r="C45" s="1" t="s">
        <v>154</v>
      </c>
      <c r="D45" s="1" t="s">
        <v>170</v>
      </c>
      <c r="E45" s="1" t="s">
        <v>152</v>
      </c>
      <c r="F45" s="1" t="s">
        <v>186</v>
      </c>
      <c r="G45" s="1">
        <f>_xlfn.XLOOKUP(F45,'rank lookup'!$A$1:$A$21,'rank lookup'!$B$1:$B$21,,0)</f>
        <v>21</v>
      </c>
      <c r="H45" s="1" t="s">
        <v>212</v>
      </c>
      <c r="I45" s="19">
        <v>189</v>
      </c>
      <c r="J45" s="19">
        <v>194</v>
      </c>
      <c r="K45" s="5">
        <f>J45/(I45*I45)*10000</f>
        <v>54.309789759525202</v>
      </c>
      <c r="L45" s="4">
        <f>CONVERT(I45,"cm","in")</f>
        <v>74.409448818897644</v>
      </c>
      <c r="M45">
        <f>_xlfn.FLOOR.MATH(L45/12)</f>
        <v>6</v>
      </c>
      <c r="N45">
        <f>ROUND(L45-M45*12,1)</f>
        <v>2.4</v>
      </c>
      <c r="O45" t="str">
        <f>M45&amp;"' "&amp;N45&amp;""""</f>
        <v>6' 2.4"</v>
      </c>
      <c r="P45">
        <f>ROUND(CONVERT(J45,"kg","lbm"),0)</f>
        <v>428</v>
      </c>
      <c r="Q45">
        <f t="shared" si="0"/>
        <v>9</v>
      </c>
      <c r="R45">
        <f t="shared" si="0"/>
        <v>2</v>
      </c>
      <c r="S45">
        <f t="shared" si="0"/>
        <v>4</v>
      </c>
      <c r="T45">
        <f>_xlfn.XLOOKUP(A45,'January 2023 Data'!$A$4:$A$49,'January 2023 Data'!$H$4:$H$49,,0)</f>
        <v>190</v>
      </c>
      <c r="U45">
        <f t="shared" si="1"/>
        <v>-1</v>
      </c>
    </row>
    <row r="46" spans="1:21" ht="25">
      <c r="A46" s="1" t="s">
        <v>89</v>
      </c>
      <c r="B46" s="1">
        <v>1</v>
      </c>
      <c r="C46" s="1" t="s">
        <v>42</v>
      </c>
      <c r="D46" s="1" t="s">
        <v>136</v>
      </c>
      <c r="E46" s="1" t="s">
        <v>135</v>
      </c>
      <c r="F46" s="1" t="s">
        <v>170</v>
      </c>
      <c r="G46" s="1" t="e">
        <f>_xlfn.XLOOKUP(F46,'rank lookup'!$A$1:$A$21,'rank lookup'!$B$1:$B$21,,0)</f>
        <v>#N/A</v>
      </c>
      <c r="H46" s="1" t="s">
        <v>208</v>
      </c>
      <c r="I46" s="19">
        <v>191</v>
      </c>
      <c r="J46" s="19">
        <v>219</v>
      </c>
      <c r="K46" s="5">
        <f>J46/(I46*I46)*10000</f>
        <v>60.031249143389715</v>
      </c>
      <c r="L46" s="4">
        <f>CONVERT(I46,"cm","in")</f>
        <v>75.196850393700785</v>
      </c>
      <c r="M46">
        <f>_xlfn.FLOOR.MATH(L46/12)</f>
        <v>6</v>
      </c>
      <c r="N46">
        <f>ROUND(L46-M46*12,1)</f>
        <v>3.2</v>
      </c>
      <c r="O46" t="str">
        <f>M46&amp;"' "&amp;N46&amp;""""</f>
        <v>6' 3.2"</v>
      </c>
      <c r="P46">
        <f>ROUND(CONVERT(J46,"kg","lbm"),0)</f>
        <v>483</v>
      </c>
      <c r="T46">
        <f>_xlfn.XLOOKUP(A46,'January 2023 Data'!$A$4:$A$49,'January 2023 Data'!$H$4:$H$49,,0)</f>
        <v>190</v>
      </c>
      <c r="U46">
        <f>I46-T46</f>
        <v>1</v>
      </c>
    </row>
    <row r="47" spans="1:21">
      <c r="A47" s="1" t="s">
        <v>87</v>
      </c>
      <c r="B47" s="1">
        <v>1</v>
      </c>
      <c r="C47" s="1" t="s">
        <v>142</v>
      </c>
      <c r="D47" s="1" t="s">
        <v>142</v>
      </c>
      <c r="E47" s="1" t="s">
        <v>147</v>
      </c>
      <c r="F47" s="1" t="s">
        <v>192</v>
      </c>
      <c r="G47" s="1" t="e">
        <f>_xlfn.XLOOKUP(F47,'rank lookup'!$A$1:$A$21,'rank lookup'!$B$1:$B$21,,0)</f>
        <v>#N/A</v>
      </c>
      <c r="H47" s="1"/>
      <c r="I47" s="19">
        <v>192</v>
      </c>
      <c r="J47" s="19">
        <v>189</v>
      </c>
      <c r="K47" s="5">
        <f>J47/(I47*I47)*10000</f>
        <v>51.26953125</v>
      </c>
      <c r="L47" s="4">
        <f>CONVERT(I47,"cm","in")</f>
        <v>75.59055118110237</v>
      </c>
      <c r="M47">
        <f>_xlfn.FLOOR.MATH(L47/12)</f>
        <v>6</v>
      </c>
      <c r="N47">
        <f>ROUND(L47-M47*12,1)</f>
        <v>3.6</v>
      </c>
      <c r="O47" t="str">
        <f>M47&amp;"' "&amp;N47&amp;""""</f>
        <v>6' 3.6"</v>
      </c>
      <c r="P47">
        <f>ROUND(CONVERT(J47,"kg","lbm"),0)</f>
        <v>417</v>
      </c>
      <c r="T47">
        <f>_xlfn.XLOOKUP(A47,'January 2023 Data'!$A$4:$A$49,'January 2023 Data'!$H$4:$H$49,,0)</f>
        <v>192</v>
      </c>
      <c r="U47">
        <f t="shared" si="1"/>
        <v>0</v>
      </c>
    </row>
    <row r="48" spans="1:21">
      <c r="A48" s="1" t="s">
        <v>90</v>
      </c>
      <c r="B48" s="1"/>
      <c r="C48" s="1" t="s">
        <v>148</v>
      </c>
      <c r="D48" s="1" t="s">
        <v>150</v>
      </c>
      <c r="E48" s="1" t="s">
        <v>148</v>
      </c>
      <c r="F48" s="1" t="s">
        <v>179</v>
      </c>
      <c r="G48" s="1" t="e">
        <f>_xlfn.XLOOKUP(F48,'rank lookup'!$A$1:$A$21,'rank lookup'!$B$1:$B$21,,0)</f>
        <v>#N/A</v>
      </c>
      <c r="H48" s="1" t="s">
        <v>193</v>
      </c>
      <c r="I48" s="19">
        <v>189</v>
      </c>
      <c r="J48" s="19">
        <v>161</v>
      </c>
      <c r="K48" s="5">
        <f>J48/(I48*I48)*10000</f>
        <v>45.071526553008034</v>
      </c>
      <c r="L48" s="4">
        <f>CONVERT(I48,"cm","in")</f>
        <v>74.409448818897644</v>
      </c>
      <c r="M48">
        <f>_xlfn.FLOOR.MATH(L48/12)</f>
        <v>6</v>
      </c>
      <c r="N48">
        <f>ROUND(L48-M48*12,1)</f>
        <v>2.4</v>
      </c>
      <c r="O48" t="str">
        <f>M48&amp;"' "&amp;N48&amp;""""</f>
        <v>6' 2.4"</v>
      </c>
      <c r="P48">
        <f>ROUND(CONVERT(J48,"kg","lbm"),0)</f>
        <v>355</v>
      </c>
      <c r="T48">
        <f>_xlfn.XLOOKUP(A48,'January 2023 Data'!$A$4:$A$49,'January 2023 Data'!$H$4:$H$49,,0)</f>
        <v>189</v>
      </c>
      <c r="U48">
        <f t="shared" si="1"/>
        <v>0</v>
      </c>
    </row>
    <row r="49" spans="1:21" ht="25">
      <c r="A49" t="s">
        <v>119</v>
      </c>
      <c r="E49" s="1" t="s">
        <v>154</v>
      </c>
      <c r="F49" s="1" t="s">
        <v>169</v>
      </c>
      <c r="G49" s="1" t="e">
        <f>_xlfn.XLOOKUP(F49,'rank lookup'!$A$1:$A$21,'rank lookup'!$B$1:$B$21,,0)</f>
        <v>#N/A</v>
      </c>
      <c r="H49" s="1" t="s">
        <v>213</v>
      </c>
      <c r="I49" s="19">
        <v>178</v>
      </c>
      <c r="J49" s="19">
        <v>166</v>
      </c>
      <c r="K49" s="5">
        <f>J49/(I49*I49)*10000</f>
        <v>52.392374700164119</v>
      </c>
      <c r="L49" s="4">
        <f>CONVERT(I49,"cm","in")</f>
        <v>70.078740157480311</v>
      </c>
      <c r="M49">
        <f>_xlfn.FLOOR.MATH(L49/12)</f>
        <v>5</v>
      </c>
      <c r="N49">
        <f>ROUND(L49-M49*12,1)</f>
        <v>10.1</v>
      </c>
      <c r="O49" t="str">
        <f>M49&amp;"' "&amp;N49&amp;""""</f>
        <v>5' 10.1"</v>
      </c>
      <c r="P49">
        <f>ROUND(CONVERT(J49,"kg","lbm"),0)</f>
        <v>366</v>
      </c>
      <c r="T49">
        <f>_xlfn.XLOOKUP(A49,'January 2023 Data'!$A$4:$A$49,'January 2023 Data'!$H$4:$H$49,,0)</f>
        <v>177</v>
      </c>
      <c r="U49">
        <f t="shared" si="1"/>
        <v>1</v>
      </c>
    </row>
    <row r="50" spans="1:21">
      <c r="A50" s="1" t="s">
        <v>113</v>
      </c>
      <c r="B50" s="1"/>
      <c r="C50" s="1" t="s">
        <v>147</v>
      </c>
      <c r="D50" s="1" t="s">
        <v>148</v>
      </c>
      <c r="E50" s="1" t="s">
        <v>179</v>
      </c>
      <c r="F50" s="1"/>
      <c r="G50" s="1" t="e">
        <f>_xlfn.XLOOKUP(F50,'rank lookup'!$A$1:$A$21,'rank lookup'!$B$1:$B$21,,0)</f>
        <v>#N/A</v>
      </c>
      <c r="H50" s="1"/>
      <c r="I50" s="19">
        <v>181</v>
      </c>
      <c r="J50" s="19">
        <v>189</v>
      </c>
      <c r="K50" s="5">
        <f>J50/(I50*I50)*10000</f>
        <v>57.690546686609082</v>
      </c>
      <c r="L50" s="4">
        <f>CONVERT(I50,"cm","in")</f>
        <v>71.259842519685037</v>
      </c>
      <c r="M50">
        <f>_xlfn.FLOOR.MATH(L50/12)</f>
        <v>5</v>
      </c>
      <c r="N50">
        <f>ROUND(L50-M50*12,1)</f>
        <v>11.3</v>
      </c>
      <c r="O50" t="str">
        <f>M50&amp;"' "&amp;N50&amp;""""</f>
        <v>5' 11.3"</v>
      </c>
      <c r="P50">
        <f>ROUND(CONVERT(J50,"kg","lbm"),0)</f>
        <v>417</v>
      </c>
      <c r="T50">
        <f>_xlfn.XLOOKUP(A50,'January 2023 Data'!$A$4:$A$49,'January 2023 Data'!$H$4:$H$49,,0)</f>
        <v>181</v>
      </c>
      <c r="U50">
        <f t="shared" si="1"/>
        <v>0</v>
      </c>
    </row>
    <row r="51" spans="1:21">
      <c r="A51" s="1" t="s">
        <v>168</v>
      </c>
      <c r="D51" t="s">
        <v>152</v>
      </c>
      <c r="E51" s="1" t="s">
        <v>170</v>
      </c>
      <c r="F51" s="1" t="s">
        <v>187</v>
      </c>
      <c r="G51" s="1" t="e">
        <f>_xlfn.XLOOKUP(F51,'rank lookup'!$A$1:$A$21,'rank lookup'!$B$1:$B$21,,0)</f>
        <v>#N/A</v>
      </c>
      <c r="I51" s="19">
        <v>185</v>
      </c>
      <c r="J51" s="19">
        <v>174</v>
      </c>
      <c r="K51" s="5">
        <f>J51/(I51*I51)*10000</f>
        <v>50.840029218407601</v>
      </c>
      <c r="L51" s="4">
        <f>CONVERT(I51,"cm","in")</f>
        <v>72.834645669291348</v>
      </c>
      <c r="M51">
        <f>_xlfn.FLOOR.MATH(L51/12)</f>
        <v>6</v>
      </c>
      <c r="N51">
        <f>ROUND(L51-M51*12,1)</f>
        <v>0.8</v>
      </c>
      <c r="O51" t="str">
        <f>M51&amp;"' "&amp;N51&amp;""""</f>
        <v>6' 0.8"</v>
      </c>
      <c r="P51">
        <f>ROUND(CONVERT(J51,"kg","lbm"),0)</f>
        <v>384</v>
      </c>
      <c r="T51">
        <f>_xlfn.XLOOKUP(A51,'January 2023 Data'!$A$4:$A$49,'January 2023 Data'!$H$4:$H$49,,0)</f>
        <v>185</v>
      </c>
      <c r="U51">
        <f t="shared" si="1"/>
        <v>0</v>
      </c>
    </row>
    <row r="52" spans="1:21">
      <c r="A52" s="1" t="s">
        <v>126</v>
      </c>
      <c r="B52" s="1"/>
      <c r="C52" s="1" t="s">
        <v>152</v>
      </c>
      <c r="D52" s="1" t="s">
        <v>154</v>
      </c>
      <c r="E52" s="1" t="s">
        <v>180</v>
      </c>
      <c r="F52" s="1" t="s">
        <v>194</v>
      </c>
      <c r="G52" s="1" t="e">
        <f>_xlfn.XLOOKUP(F52,'rank lookup'!$A$1:$A$21,'rank lookup'!$B$1:$B$21,,0)</f>
        <v>#N/A</v>
      </c>
      <c r="H52" s="1"/>
      <c r="I52" s="19">
        <v>169</v>
      </c>
      <c r="J52" s="19">
        <v>107</v>
      </c>
      <c r="K52" s="5">
        <f>J52/(I52*I52)*10000</f>
        <v>37.463674241098005</v>
      </c>
      <c r="L52" s="4">
        <f>CONVERT(I52,"cm","in")</f>
        <v>66.535433070866134</v>
      </c>
      <c r="M52">
        <f>_xlfn.FLOOR.MATH(L52/12)</f>
        <v>5</v>
      </c>
      <c r="N52">
        <f>ROUND(L52-M52*12,1)</f>
        <v>6.5</v>
      </c>
      <c r="O52" t="str">
        <f>M52&amp;"' "&amp;N52&amp;""""</f>
        <v>5' 6.5"</v>
      </c>
      <c r="P52">
        <f>ROUND(CONVERT(J52,"kg","lbm"),0)</f>
        <v>236</v>
      </c>
      <c r="T52">
        <f>_xlfn.XLOOKUP(A52,'January 2023 Data'!$A$4:$A$49,'January 2023 Data'!$H$4:$H$49,,0)</f>
        <v>169</v>
      </c>
      <c r="U52">
        <f t="shared" si="1"/>
        <v>0</v>
      </c>
    </row>
    <row r="53" spans="1:21">
      <c r="A53" s="1" t="s">
        <v>107</v>
      </c>
      <c r="B53" s="1"/>
      <c r="C53" s="1" t="s">
        <v>151</v>
      </c>
      <c r="D53" s="1" t="s">
        <v>169</v>
      </c>
      <c r="E53" s="1" t="s">
        <v>179</v>
      </c>
      <c r="F53" s="1"/>
      <c r="G53" s="1" t="e">
        <f>_xlfn.XLOOKUP(F53,'rank lookup'!$A$1:$A$21,'rank lookup'!$B$1:$B$21,,0)</f>
        <v>#N/A</v>
      </c>
      <c r="H53" s="1"/>
      <c r="I53" s="19">
        <v>185</v>
      </c>
      <c r="J53" s="19">
        <v>181</v>
      </c>
      <c r="K53" s="5">
        <f>J53/(I53*I53)*10000</f>
        <v>52.885317750182615</v>
      </c>
      <c r="L53" s="4">
        <f>CONVERT(I53,"cm","in")</f>
        <v>72.834645669291348</v>
      </c>
      <c r="M53">
        <f>_xlfn.FLOOR.MATH(L53/12)</f>
        <v>6</v>
      </c>
      <c r="N53">
        <f>ROUND(L53-M53*12,1)</f>
        <v>0.8</v>
      </c>
      <c r="O53" t="str">
        <f>M53&amp;"' "&amp;N53&amp;""""</f>
        <v>6' 0.8"</v>
      </c>
      <c r="P53">
        <f>ROUND(CONVERT(J53,"kg","lbm"),0)</f>
        <v>399</v>
      </c>
      <c r="T53">
        <f>_xlfn.XLOOKUP(A53,'January 2023 Data'!$A$4:$A$49,'January 2023 Data'!$H$4:$H$49,,0)</f>
        <v>185</v>
      </c>
      <c r="U53">
        <f t="shared" si="1"/>
        <v>0</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47"/>
  <sheetViews>
    <sheetView tabSelected="1" topLeftCell="B1" workbookViewId="0">
      <selection activeCell="B1" sqref="B1"/>
    </sheetView>
  </sheetViews>
  <sheetFormatPr defaultRowHeight="14.5"/>
  <cols>
    <col min="1" max="1" width="25.81640625" bestFit="1" customWidth="1"/>
    <col min="2" max="2" width="40.54296875" customWidth="1"/>
    <col min="3" max="3" width="2.54296875" customWidth="1"/>
    <col min="4" max="4" width="20.54296875" customWidth="1"/>
    <col min="5" max="5" width="40.54296875" customWidth="1"/>
  </cols>
  <sheetData>
    <row r="1" spans="1:2">
      <c r="A1" t="s">
        <v>0</v>
      </c>
      <c r="B1" t="str" cm="1">
        <f t="array" aca="1" ref="B1" ca="1">CELL("filename")</f>
        <v>https://conning-my.sharepoint.com/personal/marypat_campbell_conning_com/Documents/Documents/STUMP writing/sumo/[March 2023 Grand Sumo tournament height and weight.xlsx]Documentation Information</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row r="141" spans="1:1">
      <c r="A141" t="s">
        <v>183</v>
      </c>
    </row>
    <row r="142" spans="1:1">
      <c r="A142" s="17" t="s">
        <v>134</v>
      </c>
    </row>
    <row r="143" spans="1:1">
      <c r="A143" t="s">
        <v>184</v>
      </c>
    </row>
    <row r="145" spans="1:1">
      <c r="A145" t="s">
        <v>214</v>
      </c>
    </row>
    <row r="146" spans="1:1">
      <c r="A146" s="17" t="s">
        <v>134</v>
      </c>
    </row>
    <row r="147" spans="1:1">
      <c r="A147" t="s">
        <v>215</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8</vt:i4>
      </vt:variant>
    </vt:vector>
  </HeadingPairs>
  <TitlesOfParts>
    <vt:vector size="17" baseType="lpstr">
      <vt:lpstr>September 2022 Data</vt:lpstr>
      <vt:lpstr>January 2023 Data</vt:lpstr>
      <vt:lpstr>November 2022 Data</vt:lpstr>
      <vt:lpstr>rank lookup</vt:lpstr>
      <vt:lpstr>Jan 2022 Data</vt:lpstr>
      <vt:lpstr>Jan 2022 Graph Prep</vt:lpstr>
      <vt:lpstr>Original Graph Dec 24 2021</vt:lpstr>
      <vt:lpstr>March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2023-03-06T00:24:33Z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