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1.xml" ContentType="application/vnd.openxmlformats-officedocument.spreadsheetml.work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9.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https://conning-my.sharepoint.com/personal/marypat_campbell_conning_com/Documents/Documents/STUMP writing/sumo/"/>
    </mc:Choice>
  </mc:AlternateContent>
  <xr:revisionPtr revIDLastSave="217" documentId="8_{0DBBC1C9-7AA6-4EA5-9FC9-9C072DD6DA05}" xr6:coauthVersionLast="47" xr6:coauthVersionMax="47" xr10:uidLastSave="{9ADB12D0-F24A-4654-8F63-097342078A1E}"/>
  <bookViews>
    <workbookView xWindow="-110" yWindow="-110" windowWidth="25820" windowHeight="14020" firstSheet="15" activeTab="15" xr2:uid="{F1E5599D-F05E-40F4-BE24-B0CCA4146CB8}"/>
  </bookViews>
  <sheets>
    <sheet name="Makuuchi Scatterplot Jan 2022" sheetId="4" state="hidden" r:id="rId1"/>
    <sheet name="BMI Histogram" sheetId="5" state="hidden" r:id="rId2"/>
    <sheet name="Makuuchi Sept 2022" sheetId="13" state="hidden" r:id="rId3"/>
    <sheet name="Makuuchi Nov 2022" sheetId="15" state="hidden" r:id="rId4"/>
    <sheet name="Makuuchi Nov 2022 DISPLAY" sheetId="16" state="hidden" r:id="rId5"/>
    <sheet name="September 2022 Data" sheetId="11" state="hidden" r:id="rId6"/>
    <sheet name="Makuuchi Jan 2023" sheetId="22" state="hidden" r:id="rId7"/>
    <sheet name="Weight change Nov 22 - Jan 23" sheetId="21" state="hidden" r:id="rId8"/>
    <sheet name="Makuuchi March 2023" sheetId="27" state="hidden" r:id="rId9"/>
    <sheet name="January 2023 Data" sheetId="17" state="hidden" r:id="rId10"/>
    <sheet name="November 2022 Data" sheetId="14" state="hidden" r:id="rId11"/>
    <sheet name="rank lookup" sheetId="12" state="hidden" r:id="rId12"/>
    <sheet name="Jan 2022 Data" sheetId="1" state="hidden" r:id="rId13"/>
    <sheet name="Jan 2022 Graph Prep" sheetId="6" state="hidden" r:id="rId14"/>
    <sheet name="Original Graph Dec 24 2021" sheetId="2" state="hidden" r:id="rId15"/>
    <sheet name="Makuuchi May 2023" sheetId="31" r:id="rId16"/>
    <sheet name="May 2023 Data" sheetId="30" r:id="rId17"/>
    <sheet name="March 2023 Data" sheetId="26" state="hidden" r:id="rId18"/>
    <sheet name="Documentation Information" sheetId="3" r:id="rId19"/>
  </sheets>
  <externalReferences>
    <externalReference r:id="rId20"/>
  </externalReferences>
  <definedNames>
    <definedName name="_xlnm._FilterDatabase" localSheetId="9" hidden="1">'January 2023 Data'!$A$3:$O$38</definedName>
    <definedName name="_xlnm._FilterDatabase" localSheetId="17" hidden="1">'March 2023 Data'!$A$3:$P$38</definedName>
    <definedName name="_xlnm._FilterDatabase" localSheetId="16" hidden="1">'May 2023 Data'!$A$3:$Q$38</definedName>
    <definedName name="_xlnm._FilterDatabase" localSheetId="10" hidden="1">'November 2022 Data'!$A$3:$N$38</definedName>
    <definedName name="_xlnm._FilterDatabase" localSheetId="5" hidden="1">'September 2022 Data'!$A$3:$L$38</definedName>
    <definedName name="_xlchart.v1.0" hidden="1">'November 2022 Data'!$I$4:$I$45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olver_eng" localSheetId="12" hidden="1">1</definedName>
    <definedName name="solver_eng" localSheetId="13" hidden="1">1</definedName>
    <definedName name="solver_eng" localSheetId="9" hidden="1">1</definedName>
    <definedName name="solver_eng" localSheetId="17" hidden="1">1</definedName>
    <definedName name="solver_eng" localSheetId="16" hidden="1">1</definedName>
    <definedName name="solver_eng" localSheetId="10" hidden="1">1</definedName>
    <definedName name="solver_eng" localSheetId="5" hidden="1">1</definedName>
    <definedName name="solver_neg" localSheetId="12" hidden="1">1</definedName>
    <definedName name="solver_neg" localSheetId="13" hidden="1">1</definedName>
    <definedName name="solver_neg" localSheetId="9" hidden="1">1</definedName>
    <definedName name="solver_neg" localSheetId="17" hidden="1">1</definedName>
    <definedName name="solver_neg" localSheetId="16" hidden="1">1</definedName>
    <definedName name="solver_neg" localSheetId="10" hidden="1">1</definedName>
    <definedName name="solver_neg" localSheetId="5" hidden="1">1</definedName>
    <definedName name="solver_num" localSheetId="12" hidden="1">0</definedName>
    <definedName name="solver_num" localSheetId="13" hidden="1">0</definedName>
    <definedName name="solver_num" localSheetId="9" hidden="1">0</definedName>
    <definedName name="solver_num" localSheetId="17" hidden="1">0</definedName>
    <definedName name="solver_num" localSheetId="16" hidden="1">0</definedName>
    <definedName name="solver_num" localSheetId="10" hidden="1">0</definedName>
    <definedName name="solver_num" localSheetId="5" hidden="1">0</definedName>
    <definedName name="solver_opt" localSheetId="12" hidden="1">'Jan 2022 Data'!$D$2</definedName>
    <definedName name="solver_opt" localSheetId="13" hidden="1">'Jan 2022 Graph Prep'!$D$2</definedName>
    <definedName name="solver_opt" localSheetId="9" hidden="1">'January 2023 Data'!$H$3</definedName>
    <definedName name="solver_opt" localSheetId="17" hidden="1">'March 2023 Data'!$I$3</definedName>
    <definedName name="solver_opt" localSheetId="16" hidden="1">'May 2023 Data'!$J$3</definedName>
    <definedName name="solver_opt" localSheetId="10" hidden="1">'November 2022 Data'!$G$3</definedName>
    <definedName name="solver_opt" localSheetId="5" hidden="1">'September 2022 Data'!$E$3</definedName>
    <definedName name="solver_typ" localSheetId="12" hidden="1">1</definedName>
    <definedName name="solver_typ" localSheetId="13" hidden="1">1</definedName>
    <definedName name="solver_typ" localSheetId="9" hidden="1">1</definedName>
    <definedName name="solver_typ" localSheetId="17" hidden="1">1</definedName>
    <definedName name="solver_typ" localSheetId="16" hidden="1">1</definedName>
    <definedName name="solver_typ" localSheetId="10" hidden="1">1</definedName>
    <definedName name="solver_typ" localSheetId="5" hidden="1">1</definedName>
    <definedName name="solver_val" localSheetId="12" hidden="1">0</definedName>
    <definedName name="solver_val" localSheetId="13" hidden="1">0</definedName>
    <definedName name="solver_val" localSheetId="9" hidden="1">0</definedName>
    <definedName name="solver_val" localSheetId="17" hidden="1">0</definedName>
    <definedName name="solver_val" localSheetId="16" hidden="1">0</definedName>
    <definedName name="solver_val" localSheetId="10" hidden="1">0</definedName>
    <definedName name="solver_val" localSheetId="5" hidden="1">0</definedName>
    <definedName name="solver_ver" localSheetId="12" hidden="1">3</definedName>
    <definedName name="solver_ver" localSheetId="13" hidden="1">3</definedName>
    <definedName name="solver_ver" localSheetId="9" hidden="1">3</definedName>
    <definedName name="solver_ver" localSheetId="17" hidden="1">3</definedName>
    <definedName name="solver_ver" localSheetId="16" hidden="1">3</definedName>
    <definedName name="solver_ver" localSheetId="10" hidden="1">3</definedName>
    <definedName name="solver_ver" localSheetId="5"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40" i="30" l="1"/>
  <c r="Q40" i="30"/>
  <c r="M40" i="30"/>
  <c r="N40" i="30"/>
  <c r="O40" i="30"/>
  <c r="P40" i="30" s="1"/>
  <c r="H40" i="30"/>
  <c r="H54" i="30"/>
  <c r="H53" i="30"/>
  <c r="H52" i="30"/>
  <c r="H51" i="30"/>
  <c r="H50" i="30"/>
  <c r="H49" i="30"/>
  <c r="H48" i="30"/>
  <c r="H38" i="30"/>
  <c r="H44" i="30"/>
  <c r="H42" i="30"/>
  <c r="H37" i="30"/>
  <c r="H34" i="30"/>
  <c r="H43" i="30"/>
  <c r="H47" i="30"/>
  <c r="H22" i="30"/>
  <c r="H33" i="30"/>
  <c r="H36" i="30"/>
  <c r="H32" i="30"/>
  <c r="H45" i="30"/>
  <c r="H46" i="30"/>
  <c r="H28" i="30"/>
  <c r="H39" i="30"/>
  <c r="H18" i="30"/>
  <c r="H30" i="30"/>
  <c r="H35" i="30"/>
  <c r="H41" i="30"/>
  <c r="H20" i="30"/>
  <c r="H26" i="30"/>
  <c r="H16" i="30"/>
  <c r="H15" i="30"/>
  <c r="H27" i="30"/>
  <c r="H21" i="30"/>
  <c r="H14" i="30"/>
  <c r="H29" i="30"/>
  <c r="H24" i="30"/>
  <c r="H19" i="30"/>
  <c r="H23" i="30"/>
  <c r="H31" i="30"/>
  <c r="H13" i="30"/>
  <c r="H25" i="30"/>
  <c r="H12" i="30"/>
  <c r="H17" i="30"/>
  <c r="H9" i="30"/>
  <c r="H8" i="30"/>
  <c r="H11" i="30"/>
  <c r="H7" i="30"/>
  <c r="H6" i="30"/>
  <c r="H10" i="30"/>
  <c r="H5" i="30"/>
  <c r="H4" i="30"/>
  <c r="X54" i="30"/>
  <c r="X53" i="30"/>
  <c r="U53" i="30"/>
  <c r="V53" i="30" s="1"/>
  <c r="Q54" i="30"/>
  <c r="M54" i="30"/>
  <c r="L54" i="30"/>
  <c r="X52" i="30"/>
  <c r="U52" i="30"/>
  <c r="V52" i="30" s="1"/>
  <c r="Q53" i="30"/>
  <c r="N53" i="30"/>
  <c r="M53" i="30"/>
  <c r="L53" i="30"/>
  <c r="X51" i="30"/>
  <c r="U51" i="30"/>
  <c r="V51" i="30" s="1"/>
  <c r="Q52" i="30"/>
  <c r="M52" i="30"/>
  <c r="N52" i="30" s="1"/>
  <c r="L52" i="30"/>
  <c r="X50" i="30"/>
  <c r="V50" i="30"/>
  <c r="U50" i="30"/>
  <c r="Q51" i="30"/>
  <c r="M51" i="30"/>
  <c r="N51" i="30" s="1"/>
  <c r="L51" i="30"/>
  <c r="X49" i="30"/>
  <c r="U49" i="30"/>
  <c r="V49" i="30" s="1"/>
  <c r="Q50" i="30"/>
  <c r="M50" i="30"/>
  <c r="N50" i="30" s="1"/>
  <c r="L50" i="30"/>
  <c r="X48" i="30"/>
  <c r="U48" i="30"/>
  <c r="V48" i="30" s="1"/>
  <c r="Q49" i="30"/>
  <c r="M49" i="30"/>
  <c r="L49" i="30"/>
  <c r="X47" i="30"/>
  <c r="U47" i="30"/>
  <c r="V47" i="30" s="1"/>
  <c r="Q48" i="30"/>
  <c r="N48" i="30"/>
  <c r="M48" i="30"/>
  <c r="L48" i="30"/>
  <c r="X46" i="30"/>
  <c r="U46" i="30"/>
  <c r="V46" i="30" s="1"/>
  <c r="Q38" i="30"/>
  <c r="M38" i="30"/>
  <c r="N38" i="30" s="1"/>
  <c r="L38" i="30"/>
  <c r="X45" i="30"/>
  <c r="U45" i="30"/>
  <c r="V45" i="30" s="1"/>
  <c r="S45" i="30"/>
  <c r="R45" i="30"/>
  <c r="Q44" i="30"/>
  <c r="M44" i="30"/>
  <c r="N44" i="30" s="1"/>
  <c r="L44" i="30"/>
  <c r="X44" i="30"/>
  <c r="V44" i="30"/>
  <c r="U44" i="30"/>
  <c r="S44" i="30"/>
  <c r="R44" i="30"/>
  <c r="Q42" i="30"/>
  <c r="N42" i="30"/>
  <c r="M42" i="30"/>
  <c r="L42" i="30"/>
  <c r="X43" i="30"/>
  <c r="U43" i="30"/>
  <c r="V43" i="30" s="1"/>
  <c r="S43" i="30"/>
  <c r="R43" i="30"/>
  <c r="Q37" i="30"/>
  <c r="N37" i="30"/>
  <c r="M37" i="30"/>
  <c r="L37" i="30"/>
  <c r="X42" i="30"/>
  <c r="V42" i="30"/>
  <c r="U42" i="30"/>
  <c r="S42" i="30"/>
  <c r="R42" i="30"/>
  <c r="Q34" i="30"/>
  <c r="M34" i="30"/>
  <c r="N34" i="30" s="1"/>
  <c r="L34" i="30"/>
  <c r="X41" i="30"/>
  <c r="V41" i="30"/>
  <c r="U41" i="30"/>
  <c r="S41" i="30"/>
  <c r="R41" i="30"/>
  <c r="Q43" i="30"/>
  <c r="N43" i="30"/>
  <c r="M43" i="30"/>
  <c r="L43" i="30"/>
  <c r="X40" i="30"/>
  <c r="U40" i="30"/>
  <c r="V40" i="30" s="1"/>
  <c r="S40" i="30"/>
  <c r="R40" i="30"/>
  <c r="Q47" i="30"/>
  <c r="M47" i="30"/>
  <c r="N47" i="30" s="1"/>
  <c r="L47" i="30"/>
  <c r="X39" i="30"/>
  <c r="V39" i="30"/>
  <c r="U39" i="30"/>
  <c r="S39" i="30"/>
  <c r="R39" i="30"/>
  <c r="Q22" i="30"/>
  <c r="N22" i="30"/>
  <c r="M22" i="30"/>
  <c r="L22" i="30"/>
  <c r="X38" i="30"/>
  <c r="V38" i="30"/>
  <c r="U38" i="30"/>
  <c r="S38" i="30"/>
  <c r="R38" i="30"/>
  <c r="Q33" i="30"/>
  <c r="N33" i="30"/>
  <c r="M33" i="30"/>
  <c r="L33" i="30"/>
  <c r="X37" i="30"/>
  <c r="U37" i="30"/>
  <c r="V37" i="30" s="1"/>
  <c r="S37" i="30"/>
  <c r="R37" i="30"/>
  <c r="Q36" i="30"/>
  <c r="M36" i="30"/>
  <c r="N36" i="30" s="1"/>
  <c r="L36" i="30"/>
  <c r="X36" i="30"/>
  <c r="V36" i="30"/>
  <c r="U36" i="30"/>
  <c r="S36" i="30"/>
  <c r="R36" i="30"/>
  <c r="Q32" i="30"/>
  <c r="N32" i="30"/>
  <c r="M32" i="30"/>
  <c r="L32" i="30"/>
  <c r="X35" i="30"/>
  <c r="U35" i="30"/>
  <c r="V35" i="30" s="1"/>
  <c r="S35" i="30"/>
  <c r="R35" i="30"/>
  <c r="Q45" i="30"/>
  <c r="N45" i="30"/>
  <c r="M45" i="30"/>
  <c r="L45" i="30"/>
  <c r="X34" i="30"/>
  <c r="V34" i="30"/>
  <c r="U34" i="30"/>
  <c r="S34" i="30"/>
  <c r="R34" i="30"/>
  <c r="Q46" i="30"/>
  <c r="M46" i="30"/>
  <c r="N46" i="30" s="1"/>
  <c r="L46" i="30"/>
  <c r="X33" i="30"/>
  <c r="U33" i="30"/>
  <c r="V33" i="30" s="1"/>
  <c r="S33" i="30"/>
  <c r="R33" i="30"/>
  <c r="Q28" i="30"/>
  <c r="N28" i="30"/>
  <c r="M28" i="30"/>
  <c r="L28" i="30"/>
  <c r="X32" i="30"/>
  <c r="U32" i="30"/>
  <c r="V32" i="30" s="1"/>
  <c r="S32" i="30"/>
  <c r="R32" i="30"/>
  <c r="Q39" i="30"/>
  <c r="M39" i="30"/>
  <c r="N39" i="30" s="1"/>
  <c r="L39" i="30"/>
  <c r="X31" i="30"/>
  <c r="V31" i="30"/>
  <c r="U31" i="30"/>
  <c r="S31" i="30"/>
  <c r="R31" i="30"/>
  <c r="Q18" i="30"/>
  <c r="N18" i="30"/>
  <c r="M18" i="30"/>
  <c r="L18" i="30"/>
  <c r="X30" i="30"/>
  <c r="U30" i="30"/>
  <c r="V30" i="30" s="1"/>
  <c r="S30" i="30"/>
  <c r="R30" i="30"/>
  <c r="Q30" i="30"/>
  <c r="M30" i="30"/>
  <c r="N30" i="30" s="1"/>
  <c r="L30" i="30"/>
  <c r="X29" i="30"/>
  <c r="U29" i="30"/>
  <c r="V29" i="30" s="1"/>
  <c r="S29" i="30"/>
  <c r="R29" i="30"/>
  <c r="Q35" i="30"/>
  <c r="M35" i="30"/>
  <c r="N35" i="30" s="1"/>
  <c r="L35" i="30"/>
  <c r="X28" i="30"/>
  <c r="V28" i="30"/>
  <c r="U28" i="30"/>
  <c r="S28" i="30"/>
  <c r="R28" i="30"/>
  <c r="Q41" i="30"/>
  <c r="N41" i="30"/>
  <c r="M41" i="30"/>
  <c r="L41" i="30"/>
  <c r="X27" i="30"/>
  <c r="U27" i="30"/>
  <c r="V27" i="30" s="1"/>
  <c r="S27" i="30"/>
  <c r="R27" i="30"/>
  <c r="Q20" i="30"/>
  <c r="M20" i="30"/>
  <c r="N20" i="30" s="1"/>
  <c r="L20" i="30"/>
  <c r="X26" i="30"/>
  <c r="V26" i="30"/>
  <c r="U26" i="30"/>
  <c r="S26" i="30"/>
  <c r="R26" i="30"/>
  <c r="Q26" i="30"/>
  <c r="M26" i="30"/>
  <c r="N26" i="30" s="1"/>
  <c r="L26" i="30"/>
  <c r="X25" i="30"/>
  <c r="U25" i="30"/>
  <c r="V25" i="30" s="1"/>
  <c r="S25" i="30"/>
  <c r="R25" i="30"/>
  <c r="Q16" i="30"/>
  <c r="N16" i="30"/>
  <c r="M16" i="30"/>
  <c r="L16" i="30"/>
  <c r="X24" i="30"/>
  <c r="U24" i="30"/>
  <c r="V24" i="30" s="1"/>
  <c r="S24" i="30"/>
  <c r="R24" i="30"/>
  <c r="Q15" i="30"/>
  <c r="M15" i="30"/>
  <c r="N15" i="30" s="1"/>
  <c r="L15" i="30"/>
  <c r="X23" i="30"/>
  <c r="V23" i="30"/>
  <c r="U23" i="30"/>
  <c r="S23" i="30"/>
  <c r="R23" i="30"/>
  <c r="Q27" i="30"/>
  <c r="N27" i="30"/>
  <c r="M27" i="30"/>
  <c r="L27" i="30"/>
  <c r="X22" i="30"/>
  <c r="U22" i="30"/>
  <c r="V22" i="30" s="1"/>
  <c r="S22" i="30"/>
  <c r="R22" i="30"/>
  <c r="Q21" i="30"/>
  <c r="M21" i="30"/>
  <c r="N21" i="30" s="1"/>
  <c r="L21" i="30"/>
  <c r="X21" i="30"/>
  <c r="U21" i="30"/>
  <c r="V21" i="30" s="1"/>
  <c r="S21" i="30"/>
  <c r="R21" i="30"/>
  <c r="Q14" i="30"/>
  <c r="N14" i="30"/>
  <c r="M14" i="30"/>
  <c r="L14" i="30"/>
  <c r="X20" i="30"/>
  <c r="V20" i="30"/>
  <c r="U20" i="30"/>
  <c r="S20" i="30"/>
  <c r="R20" i="30"/>
  <c r="Q29" i="30"/>
  <c r="N29" i="30"/>
  <c r="M29" i="30"/>
  <c r="L29" i="30"/>
  <c r="X19" i="30"/>
  <c r="U19" i="30"/>
  <c r="V19" i="30" s="1"/>
  <c r="S19" i="30"/>
  <c r="R19" i="30"/>
  <c r="Q24" i="30"/>
  <c r="M24" i="30"/>
  <c r="N24" i="30" s="1"/>
  <c r="L24" i="30"/>
  <c r="X18" i="30"/>
  <c r="V18" i="30"/>
  <c r="U18" i="30"/>
  <c r="S18" i="30"/>
  <c r="R18" i="30"/>
  <c r="Q19" i="30"/>
  <c r="M19" i="30"/>
  <c r="N19" i="30" s="1"/>
  <c r="L19" i="30"/>
  <c r="X17" i="30"/>
  <c r="U17" i="30"/>
  <c r="V17" i="30" s="1"/>
  <c r="S17" i="30"/>
  <c r="R17" i="30"/>
  <c r="Q23" i="30"/>
  <c r="N23" i="30"/>
  <c r="M23" i="30"/>
  <c r="L23" i="30"/>
  <c r="X16" i="30"/>
  <c r="V16" i="30"/>
  <c r="U16" i="30"/>
  <c r="S16" i="30"/>
  <c r="R16" i="30"/>
  <c r="Q31" i="30"/>
  <c r="M31" i="30"/>
  <c r="N31" i="30" s="1"/>
  <c r="L31" i="30"/>
  <c r="X15" i="30"/>
  <c r="V15" i="30"/>
  <c r="U15" i="30"/>
  <c r="S15" i="30"/>
  <c r="R15" i="30"/>
  <c r="Q13" i="30"/>
  <c r="N13" i="30"/>
  <c r="M13" i="30"/>
  <c r="L13" i="30"/>
  <c r="X14" i="30"/>
  <c r="U14" i="30"/>
  <c r="V14" i="30" s="1"/>
  <c r="S14" i="30"/>
  <c r="R14" i="30"/>
  <c r="Q25" i="30"/>
  <c r="M25" i="30"/>
  <c r="N25" i="30" s="1"/>
  <c r="L25" i="30"/>
  <c r="X13" i="30"/>
  <c r="U13" i="30"/>
  <c r="V13" i="30" s="1"/>
  <c r="S13" i="30"/>
  <c r="R13" i="30"/>
  <c r="Q12" i="30"/>
  <c r="N12" i="30"/>
  <c r="M12" i="30"/>
  <c r="L12" i="30"/>
  <c r="X12" i="30"/>
  <c r="V12" i="30"/>
  <c r="U12" i="30"/>
  <c r="S12" i="30"/>
  <c r="R12" i="30"/>
  <c r="Q17" i="30"/>
  <c r="N17" i="30"/>
  <c r="M17" i="30"/>
  <c r="L17" i="30"/>
  <c r="X11" i="30"/>
  <c r="U11" i="30"/>
  <c r="V11" i="30" s="1"/>
  <c r="S11" i="30"/>
  <c r="R11" i="30"/>
  <c r="Q9" i="30"/>
  <c r="M9" i="30"/>
  <c r="N9" i="30" s="1"/>
  <c r="L9" i="30"/>
  <c r="X10" i="30"/>
  <c r="U10" i="30"/>
  <c r="V10" i="30" s="1"/>
  <c r="S10" i="30"/>
  <c r="R10" i="30"/>
  <c r="Q8" i="30"/>
  <c r="M8" i="30"/>
  <c r="N8" i="30" s="1"/>
  <c r="L8" i="30"/>
  <c r="X9" i="30"/>
  <c r="U9" i="30"/>
  <c r="V9" i="30" s="1"/>
  <c r="S9" i="30"/>
  <c r="R9" i="30"/>
  <c r="Q11" i="30"/>
  <c r="M11" i="30"/>
  <c r="L11" i="30"/>
  <c r="X8" i="30"/>
  <c r="U8" i="30"/>
  <c r="V8" i="30" s="1"/>
  <c r="S8" i="30"/>
  <c r="R8" i="30"/>
  <c r="Q7" i="30"/>
  <c r="M7" i="30"/>
  <c r="L7" i="30"/>
  <c r="X7" i="30"/>
  <c r="V7" i="30"/>
  <c r="U7" i="30"/>
  <c r="S7" i="30"/>
  <c r="R7" i="30"/>
  <c r="Q6" i="30"/>
  <c r="N6" i="30"/>
  <c r="M6" i="30"/>
  <c r="L6" i="30"/>
  <c r="X6" i="30"/>
  <c r="U6" i="30"/>
  <c r="V6" i="30" s="1"/>
  <c r="S6" i="30"/>
  <c r="R6" i="30"/>
  <c r="Q10" i="30"/>
  <c r="M10" i="30"/>
  <c r="N10" i="30" s="1"/>
  <c r="L10" i="30"/>
  <c r="X5" i="30"/>
  <c r="U5" i="30"/>
  <c r="V5" i="30" s="1"/>
  <c r="S5" i="30"/>
  <c r="R5" i="30"/>
  <c r="Q5" i="30"/>
  <c r="M5" i="30"/>
  <c r="L5" i="30"/>
  <c r="Y4" i="30" a="1"/>
  <c r="X4" i="30"/>
  <c r="U4" i="30"/>
  <c r="V4" i="30" s="1"/>
  <c r="S4" i="30"/>
  <c r="R4" i="30"/>
  <c r="Q4" i="30"/>
  <c r="O4" i="30"/>
  <c r="M4" i="30"/>
  <c r="N4" i="30" s="1"/>
  <c r="L4" i="30"/>
  <c r="W5" i="26"/>
  <c r="W6" i="26"/>
  <c r="W7" i="26"/>
  <c r="W8" i="26"/>
  <c r="W9" i="26"/>
  <c r="W10" i="26"/>
  <c r="W11" i="26"/>
  <c r="W12" i="26"/>
  <c r="W13" i="26"/>
  <c r="W14" i="26"/>
  <c r="W15" i="26"/>
  <c r="W16" i="26"/>
  <c r="W17" i="26"/>
  <c r="W18" i="26"/>
  <c r="W19" i="26"/>
  <c r="W20" i="26"/>
  <c r="W21" i="26"/>
  <c r="W22" i="26"/>
  <c r="W23" i="26"/>
  <c r="W24" i="26"/>
  <c r="W25" i="26"/>
  <c r="W26" i="26"/>
  <c r="W27" i="26"/>
  <c r="W28" i="26"/>
  <c r="W29" i="26"/>
  <c r="W30" i="26"/>
  <c r="W31" i="26"/>
  <c r="W32" i="26"/>
  <c r="W33" i="26"/>
  <c r="W34" i="26"/>
  <c r="W35" i="26"/>
  <c r="W36" i="26"/>
  <c r="W37" i="26"/>
  <c r="W38" i="26"/>
  <c r="W39" i="26"/>
  <c r="W40" i="26"/>
  <c r="W41" i="26"/>
  <c r="W42" i="26"/>
  <c r="W43" i="26"/>
  <c r="W44" i="26"/>
  <c r="W45" i="26"/>
  <c r="W46" i="26"/>
  <c r="W47" i="26"/>
  <c r="W48" i="26"/>
  <c r="W49" i="26"/>
  <c r="W50" i="26"/>
  <c r="W51" i="26"/>
  <c r="W52" i="26"/>
  <c r="W53" i="26"/>
  <c r="W4" i="26"/>
  <c r="AA3" i="26"/>
  <c r="Z3" i="26"/>
  <c r="Y5" i="26"/>
  <c r="Y6" i="26"/>
  <c r="Y7" i="26"/>
  <c r="Y8" i="26"/>
  <c r="Y9" i="26"/>
  <c r="Y10" i="26"/>
  <c r="Y4" i="26"/>
  <c r="Y3" i="26" s="1"/>
  <c r="X4" i="26" a="1"/>
  <c r="X4" i="26"/>
  <c r="U46" i="26"/>
  <c r="U47" i="26"/>
  <c r="U48" i="26"/>
  <c r="U49" i="26"/>
  <c r="U50" i="26"/>
  <c r="U51" i="26"/>
  <c r="U52" i="26"/>
  <c r="U53" i="26"/>
  <c r="U5" i="26"/>
  <c r="U6" i="26"/>
  <c r="U7" i="26"/>
  <c r="U8" i="26"/>
  <c r="U9" i="26"/>
  <c r="U10" i="26"/>
  <c r="U11" i="26"/>
  <c r="U12" i="26"/>
  <c r="U13" i="26"/>
  <c r="U14" i="26"/>
  <c r="U15" i="26"/>
  <c r="U16" i="26"/>
  <c r="U17" i="26"/>
  <c r="U18" i="26"/>
  <c r="U19" i="26"/>
  <c r="U20" i="26"/>
  <c r="U21" i="26"/>
  <c r="U22" i="26"/>
  <c r="U23" i="26"/>
  <c r="U24" i="26"/>
  <c r="U25" i="26"/>
  <c r="U26" i="26"/>
  <c r="U27" i="26"/>
  <c r="U28" i="26"/>
  <c r="U29" i="26"/>
  <c r="U30" i="26"/>
  <c r="U31" i="26"/>
  <c r="U32" i="26"/>
  <c r="U33" i="26"/>
  <c r="U34" i="26"/>
  <c r="U35" i="26"/>
  <c r="U36" i="26"/>
  <c r="U37" i="26"/>
  <c r="U38" i="26"/>
  <c r="U39" i="26"/>
  <c r="U40" i="26"/>
  <c r="U41" i="26"/>
  <c r="U42" i="26"/>
  <c r="U43" i="26"/>
  <c r="U44" i="26"/>
  <c r="U45" i="26"/>
  <c r="U4" i="26"/>
  <c r="T46" i="26"/>
  <c r="T47" i="26"/>
  <c r="T48" i="26"/>
  <c r="T49" i="26"/>
  <c r="T50" i="26"/>
  <c r="T51" i="26"/>
  <c r="T52" i="26"/>
  <c r="T53" i="26"/>
  <c r="T5" i="26"/>
  <c r="T6" i="26"/>
  <c r="T7" i="26"/>
  <c r="T8" i="26"/>
  <c r="T9" i="26"/>
  <c r="T10" i="26"/>
  <c r="T11" i="26"/>
  <c r="T12" i="26"/>
  <c r="T13" i="26"/>
  <c r="T14" i="26"/>
  <c r="T15" i="26"/>
  <c r="T16" i="26"/>
  <c r="T17" i="26"/>
  <c r="T18" i="26"/>
  <c r="T19" i="26"/>
  <c r="T20" i="26"/>
  <c r="T21" i="26"/>
  <c r="T22" i="26"/>
  <c r="T23" i="26"/>
  <c r="T24" i="26"/>
  <c r="T25" i="26"/>
  <c r="T26" i="26"/>
  <c r="T27" i="26"/>
  <c r="T28" i="26"/>
  <c r="T29" i="26"/>
  <c r="T30" i="26"/>
  <c r="T31" i="26"/>
  <c r="T32" i="26"/>
  <c r="T33" i="26"/>
  <c r="T34" i="26"/>
  <c r="T35" i="26"/>
  <c r="T36" i="26"/>
  <c r="T37" i="26"/>
  <c r="T38" i="26"/>
  <c r="T39" i="26"/>
  <c r="T40" i="26"/>
  <c r="T41" i="26"/>
  <c r="T42" i="26"/>
  <c r="T43" i="26"/>
  <c r="T44" i="26"/>
  <c r="T45" i="26"/>
  <c r="T4" i="26"/>
  <c r="Q4" i="26"/>
  <c r="K4" i="26"/>
  <c r="K42" i="26"/>
  <c r="P42" i="26"/>
  <c r="L42" i="26"/>
  <c r="M42" i="26"/>
  <c r="N42" i="26"/>
  <c r="O42" i="26"/>
  <c r="K40" i="26"/>
  <c r="P40" i="26"/>
  <c r="L40" i="26"/>
  <c r="M40" i="26"/>
  <c r="N40" i="26"/>
  <c r="O40" i="26"/>
  <c r="K39" i="26"/>
  <c r="P39" i="26"/>
  <c r="L39" i="26"/>
  <c r="N39" i="26" s="1"/>
  <c r="M39" i="26"/>
  <c r="K38" i="26"/>
  <c r="P38" i="26"/>
  <c r="L38" i="26"/>
  <c r="N38" i="26" s="1"/>
  <c r="O38" i="26" s="1"/>
  <c r="M38" i="26"/>
  <c r="G45" i="26"/>
  <c r="G5" i="26"/>
  <c r="G6" i="26"/>
  <c r="G7" i="26"/>
  <c r="G8" i="26"/>
  <c r="G9" i="26"/>
  <c r="G10" i="26"/>
  <c r="G11" i="26"/>
  <c r="G12" i="26"/>
  <c r="G46" i="26"/>
  <c r="G47" i="26"/>
  <c r="G48" i="26"/>
  <c r="G49" i="26"/>
  <c r="G50" i="26"/>
  <c r="G51" i="26"/>
  <c r="G52" i="26"/>
  <c r="G53" i="26"/>
  <c r="G4" i="26"/>
  <c r="P53" i="26"/>
  <c r="L53" i="26"/>
  <c r="K53" i="26"/>
  <c r="P52" i="26"/>
  <c r="L52" i="26"/>
  <c r="M52" i="26" s="1"/>
  <c r="K52" i="26"/>
  <c r="P51" i="26"/>
  <c r="L51" i="26"/>
  <c r="K51" i="26"/>
  <c r="P50" i="26"/>
  <c r="L50" i="26"/>
  <c r="K50" i="26"/>
  <c r="R45" i="26"/>
  <c r="Q45" i="26"/>
  <c r="P49" i="26"/>
  <c r="L49" i="26"/>
  <c r="M49" i="26" s="1"/>
  <c r="K49" i="26"/>
  <c r="R44" i="26"/>
  <c r="Q44" i="26"/>
  <c r="P36" i="26"/>
  <c r="L36" i="26"/>
  <c r="M36" i="26" s="1"/>
  <c r="K36" i="26"/>
  <c r="R43" i="26"/>
  <c r="Q43" i="26"/>
  <c r="P45" i="26"/>
  <c r="L45" i="26"/>
  <c r="M45" i="26" s="1"/>
  <c r="K45" i="26"/>
  <c r="R42" i="26"/>
  <c r="Q42" i="26"/>
  <c r="P44" i="26"/>
  <c r="L44" i="26"/>
  <c r="M44" i="26" s="1"/>
  <c r="K44" i="26"/>
  <c r="R41" i="26"/>
  <c r="Q41" i="26"/>
  <c r="P34" i="26"/>
  <c r="L34" i="26"/>
  <c r="M34" i="26" s="1"/>
  <c r="K34" i="26"/>
  <c r="R40" i="26"/>
  <c r="Q40" i="26"/>
  <c r="P28" i="26"/>
  <c r="L28" i="26"/>
  <c r="M28" i="26" s="1"/>
  <c r="K28" i="26"/>
  <c r="R39" i="26"/>
  <c r="Q39" i="26"/>
  <c r="P37" i="26"/>
  <c r="L37" i="26"/>
  <c r="K37" i="26"/>
  <c r="R38" i="26"/>
  <c r="Q38" i="26"/>
  <c r="P22" i="26"/>
  <c r="L22" i="26"/>
  <c r="K22" i="26"/>
  <c r="R37" i="26"/>
  <c r="Q37" i="26"/>
  <c r="P35" i="26"/>
  <c r="L35" i="26"/>
  <c r="M35" i="26" s="1"/>
  <c r="N35" i="26" s="1"/>
  <c r="O35" i="26" s="1"/>
  <c r="K35" i="26"/>
  <c r="R36" i="26"/>
  <c r="Q36" i="26"/>
  <c r="P48" i="26"/>
  <c r="L48" i="26"/>
  <c r="K48" i="26"/>
  <c r="R35" i="26"/>
  <c r="Q35" i="26"/>
  <c r="P43" i="26"/>
  <c r="L43" i="26"/>
  <c r="M43" i="26" s="1"/>
  <c r="K43" i="26"/>
  <c r="R34" i="26"/>
  <c r="Q34" i="26"/>
  <c r="P47" i="26"/>
  <c r="L47" i="26"/>
  <c r="M47" i="26" s="1"/>
  <c r="K47" i="26"/>
  <c r="R33" i="26"/>
  <c r="Q33" i="26"/>
  <c r="P30" i="26"/>
  <c r="L30" i="26"/>
  <c r="M30" i="26" s="1"/>
  <c r="K30" i="26"/>
  <c r="R32" i="26"/>
  <c r="Q32" i="26"/>
  <c r="P29" i="26"/>
  <c r="L29" i="26"/>
  <c r="M29" i="26" s="1"/>
  <c r="K29" i="26"/>
  <c r="R31" i="26"/>
  <c r="Q31" i="26"/>
  <c r="P33" i="26"/>
  <c r="L33" i="26"/>
  <c r="K33" i="26"/>
  <c r="R30" i="26"/>
  <c r="Q30" i="26"/>
  <c r="P24" i="26"/>
  <c r="L24" i="26"/>
  <c r="K24" i="26"/>
  <c r="R29" i="26"/>
  <c r="Q29" i="26"/>
  <c r="P41" i="26"/>
  <c r="M41" i="26"/>
  <c r="N41" i="26" s="1"/>
  <c r="O41" i="26" s="1"/>
  <c r="L41" i="26"/>
  <c r="K41" i="26"/>
  <c r="R28" i="26"/>
  <c r="Q28" i="26"/>
  <c r="P20" i="26"/>
  <c r="M20" i="26"/>
  <c r="L20" i="26"/>
  <c r="K20" i="26"/>
  <c r="R27" i="26"/>
  <c r="Q27" i="26"/>
  <c r="P27" i="26"/>
  <c r="M27" i="26"/>
  <c r="L27" i="26"/>
  <c r="K27" i="26"/>
  <c r="R26" i="26"/>
  <c r="Q26" i="26"/>
  <c r="P46" i="26"/>
  <c r="L46" i="26"/>
  <c r="M46" i="26" s="1"/>
  <c r="K46" i="26"/>
  <c r="R25" i="26"/>
  <c r="Q25" i="26"/>
  <c r="P32" i="26"/>
  <c r="L32" i="26"/>
  <c r="M32" i="26" s="1"/>
  <c r="K32" i="26"/>
  <c r="R24" i="26"/>
  <c r="Q24" i="26"/>
  <c r="P26" i="26"/>
  <c r="L26" i="26"/>
  <c r="M26" i="26" s="1"/>
  <c r="K26" i="26"/>
  <c r="R23" i="26"/>
  <c r="Q23" i="26"/>
  <c r="P16" i="26"/>
  <c r="L16" i="26"/>
  <c r="K16" i="26"/>
  <c r="R22" i="26"/>
  <c r="Q22" i="26"/>
  <c r="P18" i="26"/>
  <c r="L18" i="26"/>
  <c r="M18" i="26" s="1"/>
  <c r="K18" i="26"/>
  <c r="R21" i="26"/>
  <c r="Q21" i="26"/>
  <c r="P31" i="26"/>
  <c r="L31" i="26"/>
  <c r="M31" i="26" s="1"/>
  <c r="K31" i="26"/>
  <c r="R20" i="26"/>
  <c r="Q20" i="26"/>
  <c r="P23" i="26"/>
  <c r="L23" i="26"/>
  <c r="M23" i="26" s="1"/>
  <c r="K23" i="26"/>
  <c r="R19" i="26"/>
  <c r="Q19" i="26"/>
  <c r="P15" i="26"/>
  <c r="L15" i="26"/>
  <c r="K15" i="26"/>
  <c r="R18" i="26"/>
  <c r="Q18" i="26"/>
  <c r="P21" i="26"/>
  <c r="L21" i="26"/>
  <c r="M21" i="26" s="1"/>
  <c r="K21" i="26"/>
  <c r="R17" i="26"/>
  <c r="Q17" i="26"/>
  <c r="P14" i="26"/>
  <c r="L14" i="26"/>
  <c r="K14" i="26"/>
  <c r="R16" i="26"/>
  <c r="Q16" i="26"/>
  <c r="P17" i="26"/>
  <c r="L17" i="26"/>
  <c r="M17" i="26" s="1"/>
  <c r="K17" i="26"/>
  <c r="R15" i="26"/>
  <c r="Q15" i="26"/>
  <c r="P12" i="26"/>
  <c r="L12" i="26"/>
  <c r="K12" i="26"/>
  <c r="R14" i="26"/>
  <c r="Q14" i="26"/>
  <c r="P11" i="26"/>
  <c r="L11" i="26"/>
  <c r="M11" i="26" s="1"/>
  <c r="K11" i="26"/>
  <c r="R13" i="26"/>
  <c r="Q13" i="26"/>
  <c r="P10" i="26"/>
  <c r="L10" i="26"/>
  <c r="M10" i="26" s="1"/>
  <c r="K10" i="26"/>
  <c r="R12" i="26"/>
  <c r="Q12" i="26"/>
  <c r="P19" i="26"/>
  <c r="L19" i="26"/>
  <c r="M19" i="26" s="1"/>
  <c r="K19" i="26"/>
  <c r="R11" i="26"/>
  <c r="Q11" i="26"/>
  <c r="P9" i="26"/>
  <c r="L9" i="26"/>
  <c r="K9" i="26"/>
  <c r="R10" i="26"/>
  <c r="Q10" i="26"/>
  <c r="P8" i="26"/>
  <c r="L8" i="26"/>
  <c r="M8" i="26" s="1"/>
  <c r="K8" i="26"/>
  <c r="R9" i="26"/>
  <c r="Q9" i="26"/>
  <c r="P25" i="26"/>
  <c r="L25" i="26"/>
  <c r="M25" i="26" s="1"/>
  <c r="K25" i="26"/>
  <c r="R8" i="26"/>
  <c r="Q8" i="26"/>
  <c r="P7" i="26"/>
  <c r="L7" i="26"/>
  <c r="M7" i="26" s="1"/>
  <c r="K7" i="26"/>
  <c r="R7" i="26"/>
  <c r="Q7" i="26"/>
  <c r="P6" i="26"/>
  <c r="L6" i="26"/>
  <c r="K6" i="26"/>
  <c r="R6" i="26"/>
  <c r="Q6" i="26"/>
  <c r="P13" i="26"/>
  <c r="L13" i="26"/>
  <c r="M13" i="26" s="1"/>
  <c r="K13" i="26"/>
  <c r="R5" i="26"/>
  <c r="Q5" i="26"/>
  <c r="P5" i="26"/>
  <c r="L5" i="26"/>
  <c r="K5" i="26"/>
  <c r="R4" i="26"/>
  <c r="R2" i="26" s="1"/>
  <c r="P4" i="26"/>
  <c r="L4" i="26"/>
  <c r="M4" i="26" s="1"/>
  <c r="W3" i="17"/>
  <c r="W5" i="17"/>
  <c r="W6" i="17"/>
  <c r="W7" i="17"/>
  <c r="W8" i="17"/>
  <c r="W9" i="17"/>
  <c r="W10" i="17"/>
  <c r="W11" i="17"/>
  <c r="W12" i="17"/>
  <c r="W13" i="17"/>
  <c r="W14" i="17"/>
  <c r="W15" i="17"/>
  <c r="W16" i="17"/>
  <c r="W17" i="17"/>
  <c r="W18" i="17"/>
  <c r="W19" i="17"/>
  <c r="W20" i="17"/>
  <c r="W21" i="17"/>
  <c r="W22" i="17"/>
  <c r="W23" i="17"/>
  <c r="W4" i="17"/>
  <c r="V4" i="17" a="1"/>
  <c r="V4" i="17" s="1"/>
  <c r="T5" i="17"/>
  <c r="T6" i="17"/>
  <c r="T7" i="17"/>
  <c r="T8" i="17"/>
  <c r="T9" i="17"/>
  <c r="T10" i="17"/>
  <c r="T11" i="17"/>
  <c r="T12" i="17"/>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 i="17"/>
  <c r="S5" i="17"/>
  <c r="S6" i="17"/>
  <c r="S7" i="17"/>
  <c r="S8" i="17"/>
  <c r="S9" i="17"/>
  <c r="S10" i="17"/>
  <c r="S11" i="17"/>
  <c r="S12" i="17"/>
  <c r="S13" i="17"/>
  <c r="S14" i="17"/>
  <c r="S15" i="17"/>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 i="17"/>
  <c r="J45" i="17"/>
  <c r="O45" i="17"/>
  <c r="K45" i="17"/>
  <c r="L45" i="17" s="1"/>
  <c r="F49" i="17"/>
  <c r="F48" i="17"/>
  <c r="F47" i="17"/>
  <c r="F46" i="17"/>
  <c r="F13" i="17"/>
  <c r="F12" i="17"/>
  <c r="F9" i="17"/>
  <c r="F11" i="17"/>
  <c r="F10" i="17"/>
  <c r="F8" i="17"/>
  <c r="F7" i="17"/>
  <c r="F6" i="17"/>
  <c r="F5" i="17"/>
  <c r="Z5" i="30" l="1"/>
  <c r="T4" i="30"/>
  <c r="Z8" i="30"/>
  <c r="T7" i="30"/>
  <c r="T9" i="30"/>
  <c r="N49" i="30"/>
  <c r="O49" i="30" s="1"/>
  <c r="P49" i="30" s="1"/>
  <c r="T5" i="30"/>
  <c r="O8" i="30"/>
  <c r="O53" i="30"/>
  <c r="P53" i="30"/>
  <c r="S2" i="30"/>
  <c r="T35" i="30"/>
  <c r="T43" i="30"/>
  <c r="T6" i="30"/>
  <c r="T8" i="30"/>
  <c r="P8" i="30"/>
  <c r="T12" i="30"/>
  <c r="O19" i="30"/>
  <c r="P19" i="30" s="1"/>
  <c r="T20" i="30"/>
  <c r="O26" i="30"/>
  <c r="P26" i="30" s="1"/>
  <c r="T28" i="30"/>
  <c r="O46" i="30"/>
  <c r="P46" i="30" s="1"/>
  <c r="T36" i="30"/>
  <c r="O34" i="30"/>
  <c r="P34" i="30" s="1"/>
  <c r="T44" i="30"/>
  <c r="T27" i="30"/>
  <c r="R2" i="30"/>
  <c r="O10" i="30"/>
  <c r="P10" i="30" s="1"/>
  <c r="O6" i="30"/>
  <c r="P6" i="30" s="1"/>
  <c r="T13" i="30"/>
  <c r="T21" i="30"/>
  <c r="T29" i="30"/>
  <c r="T37" i="30"/>
  <c r="T45" i="30"/>
  <c r="T10" i="30"/>
  <c r="O17" i="30"/>
  <c r="P17" i="30" s="1"/>
  <c r="T14" i="30"/>
  <c r="O29" i="30"/>
  <c r="P29" i="30" s="1"/>
  <c r="T22" i="30"/>
  <c r="O41" i="30"/>
  <c r="P41" i="30" s="1"/>
  <c r="T30" i="30"/>
  <c r="O32" i="30"/>
  <c r="P32" i="30" s="1"/>
  <c r="T38" i="30"/>
  <c r="O42" i="30"/>
  <c r="P42" i="30" s="1"/>
  <c r="T15" i="30"/>
  <c r="T23" i="30"/>
  <c r="T31" i="30"/>
  <c r="T39" i="30"/>
  <c r="T11" i="30"/>
  <c r="T19" i="30"/>
  <c r="O25" i="30"/>
  <c r="P25" i="30" s="1"/>
  <c r="T16" i="30"/>
  <c r="O21" i="30"/>
  <c r="P21" i="30" s="1"/>
  <c r="T24" i="30"/>
  <c r="O30" i="30"/>
  <c r="P30" i="30" s="1"/>
  <c r="T32" i="30"/>
  <c r="O33" i="30"/>
  <c r="P33" i="30" s="1"/>
  <c r="T40" i="30"/>
  <c r="T17" i="30"/>
  <c r="T25" i="30"/>
  <c r="T33" i="30"/>
  <c r="T41" i="30"/>
  <c r="O50" i="30"/>
  <c r="P50" i="30" s="1"/>
  <c r="P4" i="30"/>
  <c r="O31" i="30"/>
  <c r="P31" i="30" s="1"/>
  <c r="T18" i="30"/>
  <c r="O15" i="30"/>
  <c r="P15" i="30" s="1"/>
  <c r="T26" i="30"/>
  <c r="P39" i="30"/>
  <c r="O39" i="30"/>
  <c r="T34" i="30"/>
  <c r="O47" i="30"/>
  <c r="P47" i="30" s="1"/>
  <c r="T42" i="30"/>
  <c r="Z10" i="30"/>
  <c r="O38" i="30"/>
  <c r="P38" i="30" s="1"/>
  <c r="Y4" i="30"/>
  <c r="Z4" i="30" s="1"/>
  <c r="Z3" i="30" s="1"/>
  <c r="AA3" i="30" s="1"/>
  <c r="AB3" i="30" s="1"/>
  <c r="Z7" i="30"/>
  <c r="N11" i="30"/>
  <c r="O11" i="30" s="1"/>
  <c r="O48" i="30"/>
  <c r="P48" i="30" s="1"/>
  <c r="Z9" i="30"/>
  <c r="Z6" i="30"/>
  <c r="N7" i="30"/>
  <c r="O9" i="30"/>
  <c r="P9" i="30" s="1"/>
  <c r="O12" i="30"/>
  <c r="P12" i="30" s="1"/>
  <c r="O13" i="30"/>
  <c r="P13" i="30" s="1"/>
  <c r="O23" i="30"/>
  <c r="P23" i="30" s="1"/>
  <c r="O24" i="30"/>
  <c r="P24" i="30" s="1"/>
  <c r="O14" i="30"/>
  <c r="P14" i="30" s="1"/>
  <c r="O27" i="30"/>
  <c r="P27" i="30" s="1"/>
  <c r="O16" i="30"/>
  <c r="P16" i="30" s="1"/>
  <c r="O20" i="30"/>
  <c r="P20" i="30" s="1"/>
  <c r="O35" i="30"/>
  <c r="P35" i="30" s="1"/>
  <c r="O18" i="30"/>
  <c r="P18" i="30" s="1"/>
  <c r="O28" i="30"/>
  <c r="P28" i="30" s="1"/>
  <c r="O45" i="30"/>
  <c r="P45" i="30" s="1"/>
  <c r="O36" i="30"/>
  <c r="P36" i="30" s="1"/>
  <c r="O22" i="30"/>
  <c r="P22" i="30" s="1"/>
  <c r="O43" i="30"/>
  <c r="P43" i="30" s="1"/>
  <c r="O37" i="30"/>
  <c r="P37" i="30" s="1"/>
  <c r="O44" i="30"/>
  <c r="P44" i="30" s="1"/>
  <c r="O51" i="30"/>
  <c r="P51" i="30" s="1"/>
  <c r="N5" i="30"/>
  <c r="O52" i="30"/>
  <c r="P52" i="30" s="1"/>
  <c r="N54" i="30"/>
  <c r="O54" i="30" s="1"/>
  <c r="O39" i="26"/>
  <c r="S8" i="26"/>
  <c r="S12" i="26"/>
  <c r="S20" i="26"/>
  <c r="S4" i="26"/>
  <c r="N10" i="26"/>
  <c r="N31" i="26"/>
  <c r="O31" i="26" s="1"/>
  <c r="N20" i="26"/>
  <c r="O20" i="26" s="1"/>
  <c r="N52" i="26"/>
  <c r="O10" i="26"/>
  <c r="S19" i="26"/>
  <c r="Q2" i="26"/>
  <c r="S7" i="26"/>
  <c r="S11" i="26"/>
  <c r="S18" i="26"/>
  <c r="M15" i="26"/>
  <c r="N15" i="26" s="1"/>
  <c r="S25" i="26"/>
  <c r="S32" i="26"/>
  <c r="S39" i="26"/>
  <c r="S43" i="26"/>
  <c r="S44" i="26"/>
  <c r="S45" i="26"/>
  <c r="N36" i="26"/>
  <c r="O36" i="26" s="1"/>
  <c r="N49" i="26"/>
  <c r="O49" i="26" s="1"/>
  <c r="S26" i="26"/>
  <c r="S33" i="26"/>
  <c r="S40" i="26"/>
  <c r="S6" i="26"/>
  <c r="S10" i="26"/>
  <c r="S15" i="26"/>
  <c r="S16" i="26"/>
  <c r="M14" i="26"/>
  <c r="N14" i="26" s="1"/>
  <c r="O14" i="26" s="1"/>
  <c r="S23" i="26"/>
  <c r="S24" i="26"/>
  <c r="S31" i="26"/>
  <c r="S35" i="26"/>
  <c r="S36" i="26"/>
  <c r="S37" i="26"/>
  <c r="S38" i="26"/>
  <c r="S42" i="26"/>
  <c r="S21" i="26"/>
  <c r="S13" i="26"/>
  <c r="S14" i="26"/>
  <c r="M12" i="26"/>
  <c r="S22" i="26"/>
  <c r="M16" i="26"/>
  <c r="N16" i="26" s="1"/>
  <c r="S27" i="26"/>
  <c r="S28" i="26"/>
  <c r="S29" i="26"/>
  <c r="S30" i="26"/>
  <c r="S34" i="26"/>
  <c r="M48" i="26"/>
  <c r="S41" i="26"/>
  <c r="N21" i="26"/>
  <c r="O21" i="26" s="1"/>
  <c r="N29" i="26"/>
  <c r="O29" i="26"/>
  <c r="N13" i="26"/>
  <c r="O13" i="26" s="1"/>
  <c r="N8" i="26"/>
  <c r="O8" i="26" s="1"/>
  <c r="N17" i="26"/>
  <c r="O17" i="26" s="1"/>
  <c r="N26" i="26"/>
  <c r="O26" i="26" s="1"/>
  <c r="N44" i="26"/>
  <c r="O44" i="26" s="1"/>
  <c r="N11" i="26"/>
  <c r="O11" i="26" s="1"/>
  <c r="N18" i="26"/>
  <c r="O18" i="26" s="1"/>
  <c r="N47" i="26"/>
  <c r="O47" i="26" s="1"/>
  <c r="O52" i="26"/>
  <c r="N4" i="26"/>
  <c r="O4" i="26" s="1"/>
  <c r="N7" i="26"/>
  <c r="O7" i="26" s="1"/>
  <c r="N19" i="26"/>
  <c r="O19" i="26" s="1"/>
  <c r="N23" i="26"/>
  <c r="O23" i="26" s="1"/>
  <c r="N46" i="26"/>
  <c r="O46" i="26" s="1"/>
  <c r="N28" i="26"/>
  <c r="O28" i="26" s="1"/>
  <c r="S9" i="26"/>
  <c r="M22" i="26"/>
  <c r="N22" i="26" s="1"/>
  <c r="M6" i="26"/>
  <c r="N34" i="26"/>
  <c r="O34" i="26" s="1"/>
  <c r="N25" i="26"/>
  <c r="O25" i="26" s="1"/>
  <c r="M33" i="26"/>
  <c r="N33" i="26" s="1"/>
  <c r="M37" i="26"/>
  <c r="N37" i="26" s="1"/>
  <c r="S17" i="26"/>
  <c r="N27" i="26"/>
  <c r="O27" i="26" s="1"/>
  <c r="M5" i="26"/>
  <c r="N5" i="26" s="1"/>
  <c r="M9" i="26"/>
  <c r="N9" i="26" s="1"/>
  <c r="N32" i="26"/>
  <c r="O32" i="26" s="1"/>
  <c r="N30" i="26"/>
  <c r="O30" i="26" s="1"/>
  <c r="M51" i="26"/>
  <c r="N51" i="26" s="1"/>
  <c r="S5" i="26"/>
  <c r="M24" i="26"/>
  <c r="N43" i="26"/>
  <c r="O43" i="26" s="1"/>
  <c r="M50" i="26"/>
  <c r="N50" i="26" s="1"/>
  <c r="M53" i="26"/>
  <c r="N45" i="26"/>
  <c r="O45" i="26" s="1"/>
  <c r="M45" i="17"/>
  <c r="N45" i="17" s="1"/>
  <c r="T2" i="30" l="1"/>
  <c r="O7" i="30"/>
  <c r="P7" i="30" s="1"/>
  <c r="P54" i="30"/>
  <c r="P11" i="30"/>
  <c r="O5" i="30"/>
  <c r="P5" i="30" s="1"/>
  <c r="S2" i="26"/>
  <c r="O15" i="26"/>
  <c r="N48" i="26"/>
  <c r="O48" i="26" s="1"/>
  <c r="O16" i="26"/>
  <c r="N12" i="26"/>
  <c r="O12" i="26" s="1"/>
  <c r="N24" i="26"/>
  <c r="O24" i="26" s="1"/>
  <c r="O50" i="26"/>
  <c r="O37" i="26"/>
  <c r="O33" i="26"/>
  <c r="O51" i="26"/>
  <c r="O9" i="26"/>
  <c r="O5" i="26"/>
  <c r="O22" i="26"/>
  <c r="N6" i="26"/>
  <c r="O6" i="26" s="1"/>
  <c r="N53" i="26"/>
  <c r="O53" i="26" s="1"/>
  <c r="F4" i="17"/>
  <c r="O49" i="17"/>
  <c r="K49" i="17"/>
  <c r="J49" i="17"/>
  <c r="O43" i="17"/>
  <c r="K43" i="17"/>
  <c r="J43" i="17"/>
  <c r="O42" i="17"/>
  <c r="K42" i="17"/>
  <c r="L42" i="17" s="1"/>
  <c r="J42" i="17"/>
  <c r="Q45" i="17"/>
  <c r="P45" i="17"/>
  <c r="O33" i="17"/>
  <c r="K33" i="17"/>
  <c r="L33" i="17" s="1"/>
  <c r="J33" i="17"/>
  <c r="Q44" i="17"/>
  <c r="P44" i="17"/>
  <c r="O48" i="17"/>
  <c r="K48" i="17"/>
  <c r="L48" i="17" s="1"/>
  <c r="J48" i="17"/>
  <c r="Q43" i="17"/>
  <c r="P43" i="17"/>
  <c r="O47" i="17"/>
  <c r="K47" i="17"/>
  <c r="J47" i="17"/>
  <c r="Q42" i="17"/>
  <c r="P42" i="17"/>
  <c r="O37" i="17"/>
  <c r="K37" i="17"/>
  <c r="L37" i="17" s="1"/>
  <c r="J37" i="17"/>
  <c r="Q41" i="17"/>
  <c r="P41" i="17"/>
  <c r="O41" i="17"/>
  <c r="K41" i="17"/>
  <c r="J41" i="17"/>
  <c r="Q40" i="17"/>
  <c r="P40" i="17"/>
  <c r="O40" i="17"/>
  <c r="K40" i="17"/>
  <c r="L40" i="17" s="1"/>
  <c r="J40" i="17"/>
  <c r="Q39" i="17"/>
  <c r="P39" i="17"/>
  <c r="O29" i="17"/>
  <c r="K29" i="17"/>
  <c r="L29" i="17" s="1"/>
  <c r="J29" i="17"/>
  <c r="Q38" i="17"/>
  <c r="P38" i="17"/>
  <c r="O36" i="17"/>
  <c r="K36" i="17"/>
  <c r="L36" i="17" s="1"/>
  <c r="J36" i="17"/>
  <c r="Q37" i="17"/>
  <c r="P37" i="17"/>
  <c r="O46" i="17"/>
  <c r="K46" i="17"/>
  <c r="J46" i="17"/>
  <c r="Q36" i="17"/>
  <c r="P36" i="17"/>
  <c r="O39" i="17"/>
  <c r="K39" i="17"/>
  <c r="L39" i="17" s="1"/>
  <c r="J39" i="17"/>
  <c r="Q35" i="17"/>
  <c r="P35" i="17"/>
  <c r="O38" i="17"/>
  <c r="K38" i="17"/>
  <c r="J38" i="17"/>
  <c r="Q34" i="17"/>
  <c r="P34" i="17"/>
  <c r="O28" i="17"/>
  <c r="K28" i="17"/>
  <c r="L28" i="17" s="1"/>
  <c r="J28" i="17"/>
  <c r="Q33" i="17"/>
  <c r="P33" i="17"/>
  <c r="O35" i="17"/>
  <c r="K35" i="17"/>
  <c r="L35" i="17" s="1"/>
  <c r="J35" i="17"/>
  <c r="Q32" i="17"/>
  <c r="P32" i="17"/>
  <c r="O32" i="17"/>
  <c r="K32" i="17"/>
  <c r="L32" i="17" s="1"/>
  <c r="J32" i="17"/>
  <c r="Q31" i="17"/>
  <c r="P31" i="17"/>
  <c r="O31" i="17"/>
  <c r="L31" i="17"/>
  <c r="K31" i="17"/>
  <c r="J31" i="17"/>
  <c r="Q30" i="17"/>
  <c r="P30" i="17"/>
  <c r="O19" i="17"/>
  <c r="K19" i="17"/>
  <c r="L19" i="17" s="1"/>
  <c r="J19" i="17"/>
  <c r="Q29" i="17"/>
  <c r="P29" i="17"/>
  <c r="O34" i="17"/>
  <c r="L34" i="17"/>
  <c r="K34" i="17"/>
  <c r="J34" i="17"/>
  <c r="Q28" i="17"/>
  <c r="P28" i="17"/>
  <c r="O44" i="17"/>
  <c r="K44" i="17"/>
  <c r="L44" i="17" s="1"/>
  <c r="J44" i="17"/>
  <c r="Q27" i="17"/>
  <c r="P27" i="17"/>
  <c r="O25" i="17"/>
  <c r="K25" i="17"/>
  <c r="J25" i="17"/>
  <c r="Q26" i="17"/>
  <c r="P26" i="17"/>
  <c r="O30" i="17"/>
  <c r="K30" i="17"/>
  <c r="J30" i="17"/>
  <c r="Q25" i="17"/>
  <c r="P25" i="17"/>
  <c r="O23" i="17"/>
  <c r="K23" i="17"/>
  <c r="L23" i="17" s="1"/>
  <c r="J23" i="17"/>
  <c r="Q24" i="17"/>
  <c r="P24" i="17"/>
  <c r="O22" i="17"/>
  <c r="K22" i="17"/>
  <c r="L22" i="17" s="1"/>
  <c r="J22" i="17"/>
  <c r="Q23" i="17"/>
  <c r="P23" i="17"/>
  <c r="O21" i="17"/>
  <c r="K21" i="17"/>
  <c r="J21" i="17"/>
  <c r="Q22" i="17"/>
  <c r="P22" i="17"/>
  <c r="O24" i="17"/>
  <c r="K24" i="17"/>
  <c r="L24" i="17" s="1"/>
  <c r="J24" i="17"/>
  <c r="Q21" i="17"/>
  <c r="P21" i="17"/>
  <c r="O13" i="17"/>
  <c r="K13" i="17"/>
  <c r="J13" i="17"/>
  <c r="Q20" i="17"/>
  <c r="P20" i="17"/>
  <c r="O20" i="17"/>
  <c r="K20" i="17"/>
  <c r="L20" i="17" s="1"/>
  <c r="J20" i="17"/>
  <c r="Q19" i="17"/>
  <c r="P19" i="17"/>
  <c r="O27" i="17"/>
  <c r="K27" i="17"/>
  <c r="J27" i="17"/>
  <c r="Q18" i="17"/>
  <c r="P18" i="17"/>
  <c r="O18" i="17"/>
  <c r="K18" i="17"/>
  <c r="L18" i="17" s="1"/>
  <c r="J18" i="17"/>
  <c r="Q17" i="17"/>
  <c r="P17" i="17"/>
  <c r="O12" i="17"/>
  <c r="L12" i="17"/>
  <c r="K12" i="17"/>
  <c r="J12" i="17"/>
  <c r="Q16" i="17"/>
  <c r="P16" i="17"/>
  <c r="O26" i="17"/>
  <c r="K26" i="17"/>
  <c r="L26" i="17" s="1"/>
  <c r="J26" i="17"/>
  <c r="Q15" i="17"/>
  <c r="P15" i="17"/>
  <c r="O9" i="17"/>
  <c r="K9" i="17"/>
  <c r="L9" i="17" s="1"/>
  <c r="J9" i="17"/>
  <c r="Q14" i="17"/>
  <c r="P14" i="17"/>
  <c r="O11" i="17"/>
  <c r="K11" i="17"/>
  <c r="L11" i="17" s="1"/>
  <c r="J11" i="17"/>
  <c r="Q13" i="17"/>
  <c r="P13" i="17"/>
  <c r="O17" i="17"/>
  <c r="L17" i="17"/>
  <c r="K17" i="17"/>
  <c r="J17" i="17"/>
  <c r="Q12" i="17"/>
  <c r="P12" i="17"/>
  <c r="O15" i="17"/>
  <c r="K15" i="17"/>
  <c r="L15" i="17" s="1"/>
  <c r="J15" i="17"/>
  <c r="Q11" i="17"/>
  <c r="P11" i="17"/>
  <c r="O10" i="17"/>
  <c r="K10" i="17"/>
  <c r="J10" i="17"/>
  <c r="Q10" i="17"/>
  <c r="P10" i="17"/>
  <c r="O14" i="17"/>
  <c r="K14" i="17"/>
  <c r="L14" i="17" s="1"/>
  <c r="J14" i="17"/>
  <c r="Q9" i="17"/>
  <c r="P9" i="17"/>
  <c r="O8" i="17"/>
  <c r="K8" i="17"/>
  <c r="L8" i="17" s="1"/>
  <c r="J8" i="17"/>
  <c r="Q8" i="17"/>
  <c r="P8" i="17"/>
  <c r="O7" i="17"/>
  <c r="K7" i="17"/>
  <c r="L7" i="17" s="1"/>
  <c r="J7" i="17"/>
  <c r="Q7" i="17"/>
  <c r="P7" i="17"/>
  <c r="O16" i="17"/>
  <c r="K16" i="17"/>
  <c r="L16" i="17" s="1"/>
  <c r="J16" i="17"/>
  <c r="Q6" i="17"/>
  <c r="P6" i="17"/>
  <c r="O6" i="17"/>
  <c r="K6" i="17"/>
  <c r="L6" i="17" s="1"/>
  <c r="J6" i="17"/>
  <c r="Q5" i="17"/>
  <c r="P5" i="17"/>
  <c r="O5" i="17"/>
  <c r="K5" i="17"/>
  <c r="J5" i="17"/>
  <c r="Q4" i="17"/>
  <c r="P4" i="17"/>
  <c r="O4" i="17"/>
  <c r="K4" i="17"/>
  <c r="L4" i="17" s="1"/>
  <c r="J4" i="17"/>
  <c r="Q2" i="14"/>
  <c r="P2" i="14"/>
  <c r="O2" i="14"/>
  <c r="Q45" i="14"/>
  <c r="Q44" i="14"/>
  <c r="Q43" i="14"/>
  <c r="Q42" i="14"/>
  <c r="Q41" i="14"/>
  <c r="Q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13" i="14"/>
  <c r="Q12" i="14"/>
  <c r="Q11" i="14"/>
  <c r="Q10" i="14"/>
  <c r="Q9" i="14"/>
  <c r="Q8" i="14"/>
  <c r="Q7" i="14"/>
  <c r="Q6" i="14"/>
  <c r="Q5" i="14"/>
  <c r="Q4" i="14"/>
  <c r="P45" i="14"/>
  <c r="P44" i="14"/>
  <c r="P43" i="14"/>
  <c r="P42" i="14"/>
  <c r="P41" i="14"/>
  <c r="P40" i="14"/>
  <c r="P39" i="14"/>
  <c r="P38" i="14"/>
  <c r="P37" i="14"/>
  <c r="P36" i="14"/>
  <c r="P35" i="14"/>
  <c r="P34"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P6" i="14"/>
  <c r="P5" i="14"/>
  <c r="P4"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I42" i="14"/>
  <c r="J42" i="14"/>
  <c r="K42" i="14" s="1"/>
  <c r="N42" i="14"/>
  <c r="I43" i="14"/>
  <c r="J43" i="14"/>
  <c r="K43" i="14" s="1"/>
  <c r="N43" i="14"/>
  <c r="I41" i="14"/>
  <c r="N41" i="14"/>
  <c r="J41" i="14"/>
  <c r="L41" i="14" s="1"/>
  <c r="K41" i="14"/>
  <c r="M41" i="14" s="1"/>
  <c r="E5" i="14"/>
  <c r="E7" i="14"/>
  <c r="E6" i="14"/>
  <c r="E10" i="14"/>
  <c r="E8" i="14"/>
  <c r="E9" i="14"/>
  <c r="E11" i="14"/>
  <c r="E12" i="14"/>
  <c r="E13" i="14"/>
  <c r="E21" i="14"/>
  <c r="E31" i="14"/>
  <c r="E48" i="14"/>
  <c r="E46" i="14"/>
  <c r="E47" i="14"/>
  <c r="E4" i="14"/>
  <c r="N47" i="14"/>
  <c r="J47" i="14"/>
  <c r="I47" i="14"/>
  <c r="N45" i="14"/>
  <c r="J45" i="14"/>
  <c r="I45" i="14"/>
  <c r="N46" i="14"/>
  <c r="J46" i="14"/>
  <c r="K46" i="14" s="1"/>
  <c r="I46" i="14"/>
  <c r="N44" i="14"/>
  <c r="J44" i="14"/>
  <c r="K44" i="14" s="1"/>
  <c r="I44" i="14"/>
  <c r="N48" i="14"/>
  <c r="J48" i="14"/>
  <c r="I48" i="14"/>
  <c r="N33" i="14"/>
  <c r="J33" i="14"/>
  <c r="K33" i="14" s="1"/>
  <c r="I33" i="14"/>
  <c r="N39" i="14"/>
  <c r="J39" i="14"/>
  <c r="K39" i="14" s="1"/>
  <c r="I39" i="14"/>
  <c r="N40" i="14"/>
  <c r="J40" i="14"/>
  <c r="I40" i="14"/>
  <c r="N38" i="14"/>
  <c r="J38" i="14"/>
  <c r="K38" i="14" s="1"/>
  <c r="I38" i="14"/>
  <c r="N25" i="14"/>
  <c r="J25" i="14"/>
  <c r="I25" i="14"/>
  <c r="N35" i="14"/>
  <c r="J35" i="14"/>
  <c r="K35" i="14" s="1"/>
  <c r="I35" i="14"/>
  <c r="N37" i="14"/>
  <c r="J37" i="14"/>
  <c r="I37" i="14"/>
  <c r="N31" i="14"/>
  <c r="J31" i="14"/>
  <c r="K31" i="14" s="1"/>
  <c r="I31" i="14"/>
  <c r="N23" i="14"/>
  <c r="J23" i="14"/>
  <c r="I23" i="14"/>
  <c r="N27" i="14"/>
  <c r="J27" i="14"/>
  <c r="K27" i="14" s="1"/>
  <c r="I27" i="14"/>
  <c r="N36" i="14"/>
  <c r="J36" i="14"/>
  <c r="I36" i="14"/>
  <c r="N29" i="14"/>
  <c r="J29" i="14"/>
  <c r="K29" i="14" s="1"/>
  <c r="I29" i="14"/>
  <c r="N22" i="14"/>
  <c r="J22" i="14"/>
  <c r="I22" i="14"/>
  <c r="N32" i="14"/>
  <c r="J32" i="14"/>
  <c r="K32" i="14" s="1"/>
  <c r="I32" i="14"/>
  <c r="N34" i="14"/>
  <c r="J34" i="14"/>
  <c r="I34" i="14"/>
  <c r="N21" i="14"/>
  <c r="J21" i="14"/>
  <c r="I21" i="14"/>
  <c r="N26" i="14"/>
  <c r="J26" i="14"/>
  <c r="I26" i="14"/>
  <c r="N28" i="14"/>
  <c r="J28" i="14"/>
  <c r="K28" i="14" s="1"/>
  <c r="I28" i="14"/>
  <c r="N20" i="14"/>
  <c r="J20" i="14"/>
  <c r="I20" i="14"/>
  <c r="N15" i="14"/>
  <c r="J15" i="14"/>
  <c r="I15" i="14"/>
  <c r="N24" i="14"/>
  <c r="J24" i="14"/>
  <c r="I24" i="14"/>
  <c r="N13" i="14"/>
  <c r="J13" i="14"/>
  <c r="K13" i="14" s="1"/>
  <c r="I13" i="14"/>
  <c r="N19" i="14"/>
  <c r="J19" i="14"/>
  <c r="I19" i="14"/>
  <c r="N14" i="14"/>
  <c r="J14" i="14"/>
  <c r="I14" i="14"/>
  <c r="N17" i="14"/>
  <c r="J17" i="14"/>
  <c r="I17" i="14"/>
  <c r="N12" i="14"/>
  <c r="J12" i="14"/>
  <c r="K12" i="14" s="1"/>
  <c r="I12" i="14"/>
  <c r="N18" i="14"/>
  <c r="J18" i="14"/>
  <c r="I18" i="14"/>
  <c r="N16" i="14"/>
  <c r="J16" i="14"/>
  <c r="I16" i="14"/>
  <c r="N30" i="14"/>
  <c r="J30" i="14"/>
  <c r="I30" i="14"/>
  <c r="N11" i="14"/>
  <c r="J11" i="14"/>
  <c r="K11" i="14" s="1"/>
  <c r="I11" i="14"/>
  <c r="N9" i="14"/>
  <c r="J9" i="14"/>
  <c r="I9" i="14"/>
  <c r="N8" i="14"/>
  <c r="J8" i="14"/>
  <c r="I8" i="14"/>
  <c r="N10" i="14"/>
  <c r="J10" i="14"/>
  <c r="I10" i="14"/>
  <c r="N6" i="14"/>
  <c r="J6" i="14"/>
  <c r="K6" i="14" s="1"/>
  <c r="I6" i="14"/>
  <c r="N7" i="14"/>
  <c r="J7" i="14"/>
  <c r="I7" i="14"/>
  <c r="N5" i="14"/>
  <c r="J5" i="14"/>
  <c r="I5" i="14"/>
  <c r="N4" i="14"/>
  <c r="J4" i="14"/>
  <c r="I4" i="14"/>
  <c r="L25" i="11"/>
  <c r="L24" i="11"/>
  <c r="L27" i="11"/>
  <c r="L26" i="11"/>
  <c r="L29" i="11"/>
  <c r="L28" i="11"/>
  <c r="L31" i="11"/>
  <c r="L30" i="11"/>
  <c r="L33" i="11"/>
  <c r="L32" i="11"/>
  <c r="L34" i="11"/>
  <c r="L35" i="11"/>
  <c r="L37" i="11"/>
  <c r="L36" i="11"/>
  <c r="L39" i="11"/>
  <c r="L38" i="11"/>
  <c r="L41" i="11"/>
  <c r="L40" i="11"/>
  <c r="L43" i="11"/>
  <c r="L42" i="11"/>
  <c r="L45" i="11"/>
  <c r="L44" i="11"/>
  <c r="J20" i="11"/>
  <c r="K20" i="11" s="1"/>
  <c r="I32" i="11"/>
  <c r="I40" i="11"/>
  <c r="J40" i="11" s="1"/>
  <c r="G24" i="11"/>
  <c r="H24" i="11"/>
  <c r="I24" i="11" s="1"/>
  <c r="G27" i="11"/>
  <c r="H27" i="11"/>
  <c r="G26" i="11"/>
  <c r="H26" i="11"/>
  <c r="G29" i="11"/>
  <c r="H29" i="11"/>
  <c r="G28" i="11"/>
  <c r="H28" i="11"/>
  <c r="G31" i="11"/>
  <c r="H31" i="11"/>
  <c r="G30" i="11"/>
  <c r="H30" i="11"/>
  <c r="G33" i="11"/>
  <c r="H33" i="11"/>
  <c r="I33" i="11" s="1"/>
  <c r="J33" i="11" s="1"/>
  <c r="G32" i="11"/>
  <c r="H32" i="11"/>
  <c r="G34" i="11"/>
  <c r="H34" i="11"/>
  <c r="G35" i="11"/>
  <c r="H35" i="11"/>
  <c r="G37" i="11"/>
  <c r="H37" i="11"/>
  <c r="G36" i="11"/>
  <c r="H36" i="11"/>
  <c r="G39" i="11"/>
  <c r="H39" i="11"/>
  <c r="G38" i="11"/>
  <c r="H38" i="11"/>
  <c r="G41" i="11"/>
  <c r="H41" i="11"/>
  <c r="I41" i="11" s="1"/>
  <c r="G40" i="11"/>
  <c r="H40" i="11"/>
  <c r="G43" i="11"/>
  <c r="H43" i="11"/>
  <c r="G42" i="11"/>
  <c r="H42" i="11"/>
  <c r="G45" i="11"/>
  <c r="H45" i="11"/>
  <c r="G44" i="11"/>
  <c r="H44" i="11"/>
  <c r="G20" i="11"/>
  <c r="L20" i="11"/>
  <c r="H20" i="11"/>
  <c r="I20" i="11" s="1"/>
  <c r="G14" i="11"/>
  <c r="L14" i="11"/>
  <c r="H14" i="11"/>
  <c r="I14" i="11" s="1"/>
  <c r="D13" i="11"/>
  <c r="D11" i="11"/>
  <c r="D21" i="11"/>
  <c r="D6" i="11"/>
  <c r="D7" i="11"/>
  <c r="D5" i="11"/>
  <c r="D8" i="11"/>
  <c r="D10" i="11"/>
  <c r="D9" i="11"/>
  <c r="D4" i="11"/>
  <c r="D12" i="11"/>
  <c r="B2" i="12" a="1"/>
  <c r="E41" i="14" s="1"/>
  <c r="L15" i="11"/>
  <c r="H15" i="11"/>
  <c r="I15" i="11" s="1"/>
  <c r="G15" i="11"/>
  <c r="L5" i="11"/>
  <c r="H5" i="11"/>
  <c r="I5" i="11" s="1"/>
  <c r="J5" i="11" s="1"/>
  <c r="G5" i="11"/>
  <c r="L18" i="11"/>
  <c r="H18" i="11"/>
  <c r="G18" i="11"/>
  <c r="L16" i="11"/>
  <c r="H16" i="11"/>
  <c r="G16" i="11"/>
  <c r="L6" i="11"/>
  <c r="H6" i="11"/>
  <c r="I6" i="11" s="1"/>
  <c r="G6" i="11"/>
  <c r="L9" i="11"/>
  <c r="H9" i="11"/>
  <c r="I9" i="11" s="1"/>
  <c r="G9" i="11"/>
  <c r="L8" i="11"/>
  <c r="H8" i="11"/>
  <c r="G8" i="11"/>
  <c r="L22" i="11"/>
  <c r="H22" i="11"/>
  <c r="I22" i="11" s="1"/>
  <c r="G22" i="11"/>
  <c r="L7" i="11"/>
  <c r="H7" i="11"/>
  <c r="G7" i="11"/>
  <c r="L23" i="11"/>
  <c r="H23" i="11"/>
  <c r="I23" i="11" s="1"/>
  <c r="G23" i="11"/>
  <c r="L11" i="11"/>
  <c r="H11" i="11"/>
  <c r="G11" i="11"/>
  <c r="H25" i="11"/>
  <c r="I25" i="11" s="1"/>
  <c r="J25" i="11" s="1"/>
  <c r="G25" i="11"/>
  <c r="L21" i="11"/>
  <c r="H21" i="11"/>
  <c r="G21" i="11"/>
  <c r="L10" i="11"/>
  <c r="H10" i="11"/>
  <c r="G10" i="11"/>
  <c r="L17" i="11"/>
  <c r="H17" i="11"/>
  <c r="G17" i="11"/>
  <c r="L12" i="11"/>
  <c r="H12" i="11"/>
  <c r="G12" i="11"/>
  <c r="L19" i="11"/>
  <c r="H19" i="11"/>
  <c r="I19" i="11" s="1"/>
  <c r="G19" i="11"/>
  <c r="L13" i="11"/>
  <c r="H13" i="11"/>
  <c r="G13" i="11"/>
  <c r="L4" i="11"/>
  <c r="H4" i="11"/>
  <c r="G4" i="11"/>
  <c r="X2" i="1"/>
  <c r="Y2" i="1" s="1"/>
  <c r="Z2" i="1" s="1"/>
  <c r="AA2" i="1" s="1"/>
  <c r="AB2" i="1" s="1"/>
  <c r="Q2" i="1"/>
  <c r="R2" i="1" s="1"/>
  <c r="S2" i="1" s="1"/>
  <c r="T2" i="1" s="1"/>
  <c r="U2" i="1" s="1"/>
  <c r="L4" i="1"/>
  <c r="L5" i="1" s="1"/>
  <c r="L6" i="1" s="1"/>
  <c r="L7" i="1" s="1"/>
  <c r="L8" i="1" s="1"/>
  <c r="L9" i="1" s="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D28" i="11" l="1"/>
  <c r="E44" i="14"/>
  <c r="E37" i="14"/>
  <c r="E34" i="14"/>
  <c r="E19" i="14"/>
  <c r="E43" i="14"/>
  <c r="E33" i="14"/>
  <c r="E23" i="14"/>
  <c r="E26" i="14"/>
  <c r="E17" i="14"/>
  <c r="E39" i="14"/>
  <c r="E27" i="14"/>
  <c r="E28" i="14"/>
  <c r="E40" i="14"/>
  <c r="E36" i="14"/>
  <c r="E20" i="14"/>
  <c r="E18" i="14"/>
  <c r="E38" i="14"/>
  <c r="E29" i="14"/>
  <c r="E16" i="14"/>
  <c r="D45" i="11"/>
  <c r="E45" i="14"/>
  <c r="E25" i="14"/>
  <c r="E22" i="14"/>
  <c r="E24" i="14"/>
  <c r="E30" i="14"/>
  <c r="D20" i="11"/>
  <c r="G17" i="26"/>
  <c r="G26" i="26"/>
  <c r="G29" i="26"/>
  <c r="G28" i="26"/>
  <c r="F33" i="17"/>
  <c r="F34" i="17"/>
  <c r="F17" i="17"/>
  <c r="F44" i="17"/>
  <c r="F31" i="17"/>
  <c r="G38" i="26"/>
  <c r="G25" i="26"/>
  <c r="G32" i="26"/>
  <c r="G30" i="26"/>
  <c r="G34" i="26"/>
  <c r="F39" i="17"/>
  <c r="F20" i="17"/>
  <c r="F26" i="17"/>
  <c r="G24" i="26"/>
  <c r="F43" i="17"/>
  <c r="G39" i="26"/>
  <c r="G21" i="26"/>
  <c r="G44" i="26"/>
  <c r="F38" i="17"/>
  <c r="F25" i="17"/>
  <c r="F27" i="17"/>
  <c r="F37" i="17"/>
  <c r="F30" i="17"/>
  <c r="F40" i="17"/>
  <c r="G40" i="26"/>
  <c r="G15" i="26"/>
  <c r="G27" i="26"/>
  <c r="G43" i="26"/>
  <c r="G36" i="26"/>
  <c r="F28" i="17"/>
  <c r="F18" i="17"/>
  <c r="G42" i="26"/>
  <c r="G19" i="26"/>
  <c r="G23" i="26"/>
  <c r="G20" i="26"/>
  <c r="F45" i="17"/>
  <c r="F41" i="17"/>
  <c r="F35" i="17"/>
  <c r="F23" i="17"/>
  <c r="F32" i="17"/>
  <c r="G18" i="26"/>
  <c r="F21" i="17"/>
  <c r="G31" i="26"/>
  <c r="G41" i="26"/>
  <c r="G35" i="26"/>
  <c r="F22" i="17"/>
  <c r="G22" i="26"/>
  <c r="F29" i="17"/>
  <c r="G16" i="26"/>
  <c r="G33" i="26"/>
  <c r="G37" i="26"/>
  <c r="F42" i="17"/>
  <c r="F36" i="17"/>
  <c r="F19" i="17"/>
  <c r="F24" i="17"/>
  <c r="F16" i="17"/>
  <c r="D37" i="11"/>
  <c r="E35" i="14"/>
  <c r="E32" i="14"/>
  <c r="E42" i="14"/>
  <c r="R4" i="17"/>
  <c r="R12" i="17"/>
  <c r="R44" i="17"/>
  <c r="R6" i="17"/>
  <c r="R11" i="17"/>
  <c r="M12" i="17"/>
  <c r="R22" i="17"/>
  <c r="L21" i="17"/>
  <c r="M21" i="17" s="1"/>
  <c r="R27" i="17"/>
  <c r="M35" i="17"/>
  <c r="R38" i="17"/>
  <c r="R43" i="17"/>
  <c r="R16" i="17"/>
  <c r="R21" i="17"/>
  <c r="M25" i="17"/>
  <c r="R32" i="17"/>
  <c r="R37" i="17"/>
  <c r="R33" i="17"/>
  <c r="M29" i="17"/>
  <c r="R5" i="17"/>
  <c r="R10" i="17"/>
  <c r="L10" i="17"/>
  <c r="M10" i="17" s="1"/>
  <c r="R15" i="17"/>
  <c r="R26" i="17"/>
  <c r="L25" i="17"/>
  <c r="R31" i="17"/>
  <c r="R42" i="17"/>
  <c r="L47" i="17"/>
  <c r="R28" i="17"/>
  <c r="L5" i="17"/>
  <c r="M5" i="17" s="1"/>
  <c r="N5" i="17" s="1"/>
  <c r="R9" i="17"/>
  <c r="M9" i="17"/>
  <c r="R20" i="17"/>
  <c r="L13" i="17"/>
  <c r="M13" i="17" s="1"/>
  <c r="N13" i="17" s="1"/>
  <c r="R25" i="17"/>
  <c r="M31" i="17"/>
  <c r="N31" i="17" s="1"/>
  <c r="R36" i="17"/>
  <c r="L46" i="17"/>
  <c r="M46" i="17" s="1"/>
  <c r="N46" i="17" s="1"/>
  <c r="R41" i="17"/>
  <c r="R17" i="17"/>
  <c r="M8" i="17"/>
  <c r="R14" i="17"/>
  <c r="R19" i="17"/>
  <c r="M23" i="17"/>
  <c r="R30" i="17"/>
  <c r="R35" i="17"/>
  <c r="R8" i="17"/>
  <c r="R13" i="17"/>
  <c r="R24" i="17"/>
  <c r="N23" i="17"/>
  <c r="R29" i="17"/>
  <c r="R40" i="17"/>
  <c r="L41" i="17"/>
  <c r="R45" i="17"/>
  <c r="M16" i="17"/>
  <c r="N16" i="17" s="1"/>
  <c r="P2" i="17"/>
  <c r="N8" i="17"/>
  <c r="Q2" i="17"/>
  <c r="R7" i="17"/>
  <c r="M17" i="17"/>
  <c r="N17" i="17" s="1"/>
  <c r="R18" i="17"/>
  <c r="L27" i="17"/>
  <c r="M27" i="17" s="1"/>
  <c r="R23" i="17"/>
  <c r="M34" i="17"/>
  <c r="N34" i="17" s="1"/>
  <c r="R34" i="17"/>
  <c r="L38" i="17"/>
  <c r="M38" i="17" s="1"/>
  <c r="R39" i="17"/>
  <c r="M33" i="17"/>
  <c r="N33" i="17" s="1"/>
  <c r="M18" i="17"/>
  <c r="N18" i="17" s="1"/>
  <c r="M28" i="17"/>
  <c r="N28" i="17" s="1"/>
  <c r="M15" i="17"/>
  <c r="N15" i="17" s="1"/>
  <c r="M44" i="17"/>
  <c r="N44" i="17" s="1"/>
  <c r="N29" i="17"/>
  <c r="M48" i="17"/>
  <c r="N48" i="17" s="1"/>
  <c r="M7" i="17"/>
  <c r="N7" i="17" s="1"/>
  <c r="M6" i="17"/>
  <c r="N6" i="17" s="1"/>
  <c r="N12" i="17"/>
  <c r="M24" i="17"/>
  <c r="N24" i="17" s="1"/>
  <c r="N35" i="17"/>
  <c r="M36" i="17"/>
  <c r="N36" i="17" s="1"/>
  <c r="M26" i="17"/>
  <c r="N26" i="17" s="1"/>
  <c r="M32" i="17"/>
  <c r="N32" i="17" s="1"/>
  <c r="M4" i="17"/>
  <c r="N4" i="17" s="1"/>
  <c r="M14" i="17"/>
  <c r="N14" i="17" s="1"/>
  <c r="M37" i="17"/>
  <c r="N37" i="17" s="1"/>
  <c r="N9" i="17"/>
  <c r="M20" i="17"/>
  <c r="N20" i="17" s="1"/>
  <c r="M39" i="17"/>
  <c r="N39" i="17" s="1"/>
  <c r="M11" i="17"/>
  <c r="N11" i="17" s="1"/>
  <c r="M19" i="17"/>
  <c r="N19" i="17" s="1"/>
  <c r="M42" i="17"/>
  <c r="N42" i="17"/>
  <c r="M22" i="17"/>
  <c r="N22" i="17" s="1"/>
  <c r="M40" i="17"/>
  <c r="N40" i="17" s="1"/>
  <c r="L49" i="17"/>
  <c r="M49" i="17" s="1"/>
  <c r="L43" i="17"/>
  <c r="M43" i="17" s="1"/>
  <c r="L30" i="17"/>
  <c r="M30" i="17" s="1"/>
  <c r="M42" i="14"/>
  <c r="L42" i="14"/>
  <c r="L43" i="14"/>
  <c r="M43" i="14" s="1"/>
  <c r="L32" i="14"/>
  <c r="M32" i="14" s="1"/>
  <c r="L11" i="14"/>
  <c r="M11" i="14"/>
  <c r="L13" i="14"/>
  <c r="M13" i="14" s="1"/>
  <c r="L31" i="14"/>
  <c r="M31" i="14" s="1"/>
  <c r="L6" i="14"/>
  <c r="M6" i="14" s="1"/>
  <c r="L28" i="14"/>
  <c r="M28" i="14" s="1"/>
  <c r="L27" i="14"/>
  <c r="M27" i="14" s="1"/>
  <c r="L44" i="14"/>
  <c r="M44" i="14" s="1"/>
  <c r="L12" i="14"/>
  <c r="M12" i="14"/>
  <c r="M29" i="14"/>
  <c r="L29" i="14"/>
  <c r="L38" i="14"/>
  <c r="M38" i="14" s="1"/>
  <c r="L33" i="14"/>
  <c r="M33" i="14" s="1"/>
  <c r="L35" i="14"/>
  <c r="M35" i="14" s="1"/>
  <c r="L39" i="14"/>
  <c r="M39" i="14" s="1"/>
  <c r="L46" i="14"/>
  <c r="M46" i="14" s="1"/>
  <c r="K7" i="14"/>
  <c r="L7" i="14" s="1"/>
  <c r="K9" i="14"/>
  <c r="L9" i="14" s="1"/>
  <c r="K18" i="14"/>
  <c r="K19" i="14"/>
  <c r="L19" i="14" s="1"/>
  <c r="K20" i="14"/>
  <c r="K34" i="14"/>
  <c r="K36" i="14"/>
  <c r="K37" i="14"/>
  <c r="K40" i="14"/>
  <c r="L40" i="14" s="1"/>
  <c r="K5" i="14"/>
  <c r="L5" i="14" s="1"/>
  <c r="K8" i="14"/>
  <c r="K16" i="14"/>
  <c r="L16" i="14" s="1"/>
  <c r="K14" i="14"/>
  <c r="L14" i="14" s="1"/>
  <c r="K15" i="14"/>
  <c r="L15" i="14" s="1"/>
  <c r="K21" i="14"/>
  <c r="L21" i="14" s="1"/>
  <c r="K48" i="14"/>
  <c r="K47" i="14"/>
  <c r="L47" i="14" s="1"/>
  <c r="K4" i="14"/>
  <c r="L4" i="14" s="1"/>
  <c r="K10" i="14"/>
  <c r="L10" i="14" s="1"/>
  <c r="K30" i="14"/>
  <c r="L30" i="14" s="1"/>
  <c r="K17" i="14"/>
  <c r="K24" i="14"/>
  <c r="L24" i="14" s="1"/>
  <c r="K26" i="14"/>
  <c r="K22" i="14"/>
  <c r="L22" i="14" s="1"/>
  <c r="K23" i="14"/>
  <c r="L23" i="14" s="1"/>
  <c r="K25" i="14"/>
  <c r="L25" i="14" s="1"/>
  <c r="K45" i="14"/>
  <c r="J19" i="11"/>
  <c r="J14" i="11"/>
  <c r="J15" i="11"/>
  <c r="K22" i="11"/>
  <c r="J32" i="11"/>
  <c r="K32" i="11" s="1"/>
  <c r="J41" i="11"/>
  <c r="K41" i="11" s="1"/>
  <c r="I38" i="11"/>
  <c r="I30" i="11"/>
  <c r="J30" i="11" s="1"/>
  <c r="J22" i="11"/>
  <c r="J24" i="11"/>
  <c r="K24" i="11" s="1"/>
  <c r="I39" i="11"/>
  <c r="I31" i="11"/>
  <c r="J23" i="11"/>
  <c r="K23" i="11" s="1"/>
  <c r="K40" i="11"/>
  <c r="I44" i="11"/>
  <c r="I36" i="11"/>
  <c r="J36" i="11" s="1"/>
  <c r="I28" i="11"/>
  <c r="J28" i="11" s="1"/>
  <c r="K33" i="11"/>
  <c r="K25" i="11"/>
  <c r="I45" i="11"/>
  <c r="I37" i="11"/>
  <c r="I29" i="11"/>
  <c r="I42" i="11"/>
  <c r="I35" i="11"/>
  <c r="J35" i="11" s="1"/>
  <c r="I26" i="11"/>
  <c r="J26" i="11" s="1"/>
  <c r="I43" i="11"/>
  <c r="J43" i="11" s="1"/>
  <c r="I34" i="11"/>
  <c r="J34" i="11" s="1"/>
  <c r="I27" i="11"/>
  <c r="K14" i="11"/>
  <c r="D43" i="11"/>
  <c r="D35" i="11"/>
  <c r="D26" i="11"/>
  <c r="D18" i="11"/>
  <c r="D42" i="11"/>
  <c r="D34" i="11"/>
  <c r="D27" i="11"/>
  <c r="D19" i="11"/>
  <c r="D41" i="11"/>
  <c r="D32" i="11"/>
  <c r="D25" i="11"/>
  <c r="D16" i="11"/>
  <c r="D40" i="11"/>
  <c r="D33" i="11"/>
  <c r="D24" i="11"/>
  <c r="D17" i="11"/>
  <c r="B2" i="12"/>
  <c r="D39" i="11"/>
  <c r="D31" i="11"/>
  <c r="D23" i="11"/>
  <c r="D38" i="11"/>
  <c r="D30" i="11"/>
  <c r="D22" i="11"/>
  <c r="D44" i="11"/>
  <c r="D36" i="11"/>
  <c r="D29" i="11"/>
  <c r="K15" i="11"/>
  <c r="K19" i="11"/>
  <c r="J6" i="11"/>
  <c r="K6" i="11" s="1"/>
  <c r="I13" i="11"/>
  <c r="J13" i="11" s="1"/>
  <c r="J9" i="11"/>
  <c r="K9" i="11" s="1"/>
  <c r="I18" i="11"/>
  <c r="K5" i="11"/>
  <c r="I21" i="11"/>
  <c r="I8" i="11"/>
  <c r="J8" i="11" s="1"/>
  <c r="I10" i="11"/>
  <c r="I4" i="11"/>
  <c r="I17" i="11"/>
  <c r="J17" i="11" s="1"/>
  <c r="I11" i="11"/>
  <c r="J11" i="11" s="1"/>
  <c r="I12" i="11"/>
  <c r="J12" i="11" s="1"/>
  <c r="I7" i="11"/>
  <c r="I16" i="11"/>
  <c r="J16" i="11" s="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3" i="1"/>
  <c r="G4" i="1"/>
  <c r="G5" i="1"/>
  <c r="G6" i="1"/>
  <c r="G7" i="1"/>
  <c r="G8" i="1"/>
  <c r="H8" i="1" s="1"/>
  <c r="G9" i="1"/>
  <c r="H9" i="1" s="1"/>
  <c r="G10" i="1"/>
  <c r="G11" i="1"/>
  <c r="G12" i="1"/>
  <c r="G13" i="1"/>
  <c r="G14" i="1"/>
  <c r="G15" i="1"/>
  <c r="H15" i="1" s="1"/>
  <c r="G16" i="1"/>
  <c r="H16" i="1" s="1"/>
  <c r="I16" i="1" s="1"/>
  <c r="G17" i="1"/>
  <c r="H17" i="1" s="1"/>
  <c r="G18" i="1"/>
  <c r="G19" i="1"/>
  <c r="G20" i="1"/>
  <c r="G21" i="1"/>
  <c r="G22" i="1"/>
  <c r="G23" i="1"/>
  <c r="G24" i="1"/>
  <c r="H24" i="1" s="1"/>
  <c r="I24" i="1" s="1"/>
  <c r="G25" i="1"/>
  <c r="H25" i="1" s="1"/>
  <c r="G26" i="1"/>
  <c r="G27" i="1"/>
  <c r="G28" i="1"/>
  <c r="G29" i="1"/>
  <c r="G30" i="1"/>
  <c r="G31" i="1"/>
  <c r="H31" i="1" s="1"/>
  <c r="G32" i="1"/>
  <c r="H32" i="1" s="1"/>
  <c r="G33" i="1"/>
  <c r="H33" i="1" s="1"/>
  <c r="G34" i="1"/>
  <c r="G35" i="1"/>
  <c r="G36" i="1"/>
  <c r="G37" i="1"/>
  <c r="G38" i="1"/>
  <c r="G39" i="1"/>
  <c r="G40" i="1"/>
  <c r="H40" i="1" s="1"/>
  <c r="G41" i="1"/>
  <c r="H41" i="1" s="1"/>
  <c r="G42" i="1"/>
  <c r="G43" i="1"/>
  <c r="G44" i="1"/>
  <c r="G3" i="1"/>
  <c r="M3" i="1" a="1"/>
  <c r="F15" i="17" l="1"/>
  <c r="G14" i="26"/>
  <c r="F14" i="17"/>
  <c r="G13" i="26"/>
  <c r="E15" i="14"/>
  <c r="E14" i="14"/>
  <c r="R2" i="17"/>
  <c r="N21" i="17"/>
  <c r="N27" i="17"/>
  <c r="N25" i="17"/>
  <c r="M41" i="17"/>
  <c r="N41" i="17" s="1"/>
  <c r="M47" i="17"/>
  <c r="N47" i="17" s="1"/>
  <c r="N10" i="17"/>
  <c r="N38" i="17"/>
  <c r="N43" i="17"/>
  <c r="N30" i="17"/>
  <c r="N49" i="17"/>
  <c r="M24" i="14"/>
  <c r="M15" i="14"/>
  <c r="L34" i="14"/>
  <c r="M34" i="14" s="1"/>
  <c r="L26" i="14"/>
  <c r="M26" i="14" s="1"/>
  <c r="M30" i="14"/>
  <c r="M45" i="14"/>
  <c r="M10" i="14"/>
  <c r="L18" i="14"/>
  <c r="M18" i="14" s="1"/>
  <c r="M21" i="14"/>
  <c r="L37" i="14"/>
  <c r="M37" i="14" s="1"/>
  <c r="M14" i="14"/>
  <c r="L36" i="14"/>
  <c r="M36" i="14" s="1"/>
  <c r="M16" i="14"/>
  <c r="M19" i="14"/>
  <c r="L20" i="14"/>
  <c r="M20" i="14" s="1"/>
  <c r="L48" i="14"/>
  <c r="M48" i="14" s="1"/>
  <c r="M25" i="14"/>
  <c r="M4" i="14"/>
  <c r="M5" i="14"/>
  <c r="M9" i="14"/>
  <c r="L17" i="14"/>
  <c r="M17" i="14" s="1"/>
  <c r="L45" i="14"/>
  <c r="L8" i="14"/>
  <c r="M8" i="14" s="1"/>
  <c r="M23" i="14"/>
  <c r="M47" i="14"/>
  <c r="M40" i="14"/>
  <c r="M7" i="14"/>
  <c r="M22" i="14"/>
  <c r="J18" i="11"/>
  <c r="K18" i="11" s="1"/>
  <c r="J21" i="11"/>
  <c r="K21" i="11" s="1"/>
  <c r="J42" i="11"/>
  <c r="K42" i="11" s="1"/>
  <c r="K45" i="11"/>
  <c r="J29" i="11"/>
  <c r="K29" i="11" s="1"/>
  <c r="K34" i="11"/>
  <c r="J37" i="11"/>
  <c r="K37" i="11" s="1"/>
  <c r="K43" i="11"/>
  <c r="J45" i="11"/>
  <c r="J44" i="11"/>
  <c r="K44" i="11" s="1"/>
  <c r="K26" i="11"/>
  <c r="K28" i="11"/>
  <c r="J27" i="11"/>
  <c r="K27" i="11" s="1"/>
  <c r="K35" i="11"/>
  <c r="K36" i="11"/>
  <c r="K30" i="11"/>
  <c r="J38" i="11"/>
  <c r="K38" i="11" s="1"/>
  <c r="J31" i="11"/>
  <c r="K31" i="11" s="1"/>
  <c r="J39" i="11"/>
  <c r="K39" i="11" s="1"/>
  <c r="D15" i="11"/>
  <c r="D14" i="11"/>
  <c r="K16" i="11"/>
  <c r="K17" i="11"/>
  <c r="K8" i="11"/>
  <c r="J4" i="11"/>
  <c r="K4" i="11" s="1"/>
  <c r="K11" i="11"/>
  <c r="K13" i="11"/>
  <c r="K12" i="11"/>
  <c r="J10" i="11"/>
  <c r="K10" i="11" s="1"/>
  <c r="J7" i="11"/>
  <c r="K7" i="11" s="1"/>
  <c r="M13" i="1"/>
  <c r="M38" i="1"/>
  <c r="M24" i="1"/>
  <c r="M3" i="1"/>
  <c r="M28" i="1"/>
  <c r="M44" i="1"/>
  <c r="M15" i="1"/>
  <c r="M9" i="1"/>
  <c r="M42" i="1"/>
  <c r="M21" i="1"/>
  <c r="M7" i="1"/>
  <c r="M32" i="1"/>
  <c r="M11" i="1"/>
  <c r="M36" i="1"/>
  <c r="M29" i="1"/>
  <c r="M40" i="1"/>
  <c r="M19" i="1"/>
  <c r="M16" i="1"/>
  <c r="M37" i="1"/>
  <c r="M23" i="1"/>
  <c r="M10" i="1"/>
  <c r="M27" i="1"/>
  <c r="M17" i="1"/>
  <c r="M39" i="1"/>
  <c r="M43" i="1"/>
  <c r="M33" i="1"/>
  <c r="M8" i="1"/>
  <c r="M34" i="1"/>
  <c r="M41" i="1"/>
  <c r="M5" i="1"/>
  <c r="M12" i="1"/>
  <c r="M6" i="1"/>
  <c r="M31" i="1"/>
  <c r="M18" i="1"/>
  <c r="M35" i="1"/>
  <c r="M25" i="1"/>
  <c r="M14" i="1"/>
  <c r="M26" i="1"/>
  <c r="M22" i="1"/>
  <c r="M4" i="1"/>
  <c r="M30" i="1"/>
  <c r="M20" i="1"/>
  <c r="H23" i="1"/>
  <c r="I23" i="1" s="1"/>
  <c r="J23" i="1" s="1"/>
  <c r="I31" i="1"/>
  <c r="J31" i="1" s="1"/>
  <c r="H39" i="1"/>
  <c r="I39" i="1" s="1"/>
  <c r="J39" i="1" s="1"/>
  <c r="H7" i="1"/>
  <c r="I7" i="1" s="1"/>
  <c r="J7" i="1" s="1"/>
  <c r="I15" i="1"/>
  <c r="J15" i="1" s="1"/>
  <c r="I33" i="1"/>
  <c r="J33" i="1" s="1"/>
  <c r="I9" i="1"/>
  <c r="J9" i="1" s="1"/>
  <c r="I41" i="1"/>
  <c r="J41" i="1" s="1"/>
  <c r="I25" i="1"/>
  <c r="J25" i="1" s="1"/>
  <c r="I17" i="1"/>
  <c r="J17" i="1" s="1"/>
  <c r="H38" i="1"/>
  <c r="H30" i="1"/>
  <c r="H22" i="1"/>
  <c r="H14" i="1"/>
  <c r="I14" i="1" s="1"/>
  <c r="H6" i="1"/>
  <c r="I6" i="1" s="1"/>
  <c r="H3" i="1"/>
  <c r="I3" i="1" s="1"/>
  <c r="J3" i="1" s="1"/>
  <c r="H37" i="1"/>
  <c r="H29" i="1"/>
  <c r="I29" i="1" s="1"/>
  <c r="H21" i="1"/>
  <c r="H13" i="1"/>
  <c r="H5" i="1"/>
  <c r="I5" i="1" s="1"/>
  <c r="J24" i="1"/>
  <c r="H44" i="1"/>
  <c r="H36" i="1"/>
  <c r="I36" i="1" s="1"/>
  <c r="H28" i="1"/>
  <c r="H20" i="1"/>
  <c r="I20" i="1" s="1"/>
  <c r="H12" i="1"/>
  <c r="I12" i="1" s="1"/>
  <c r="H4" i="1"/>
  <c r="J16" i="1"/>
  <c r="I40" i="1"/>
  <c r="J40" i="1" s="1"/>
  <c r="I32" i="1"/>
  <c r="J32" i="1" s="1"/>
  <c r="I8" i="1"/>
  <c r="J8" i="1" s="1"/>
  <c r="H43" i="1"/>
  <c r="I43" i="1" s="1"/>
  <c r="J43" i="1" s="1"/>
  <c r="H35" i="1"/>
  <c r="I35" i="1" s="1"/>
  <c r="J35" i="1" s="1"/>
  <c r="H27" i="1"/>
  <c r="I27" i="1" s="1"/>
  <c r="J27" i="1" s="1"/>
  <c r="H19" i="1"/>
  <c r="I19" i="1" s="1"/>
  <c r="J19" i="1" s="1"/>
  <c r="H11" i="1"/>
  <c r="I11" i="1" s="1"/>
  <c r="J11" i="1" s="1"/>
  <c r="H42" i="1"/>
  <c r="I42" i="1" s="1"/>
  <c r="J42" i="1" s="1"/>
  <c r="H34" i="1"/>
  <c r="I34" i="1" s="1"/>
  <c r="J34" i="1" s="1"/>
  <c r="H26" i="1"/>
  <c r="I26" i="1" s="1"/>
  <c r="J26" i="1" s="1"/>
  <c r="H18" i="1"/>
  <c r="I18" i="1" s="1"/>
  <c r="J18" i="1" s="1"/>
  <c r="H10" i="1"/>
  <c r="I10" i="1" s="1"/>
  <c r="J10" i="1" s="1"/>
  <c r="P14" i="1"/>
  <c r="P15" i="1"/>
  <c r="Q3" i="1" l="1"/>
  <c r="T3" i="1"/>
  <c r="P4" i="1"/>
  <c r="T4" i="1"/>
  <c r="U3" i="1"/>
  <c r="P3" i="1"/>
  <c r="R5" i="1"/>
  <c r="U5" i="1"/>
  <c r="R3" i="1"/>
  <c r="Q4" i="1"/>
  <c r="Q5" i="1"/>
  <c r="U4" i="1"/>
  <c r="T5" i="1"/>
  <c r="S4" i="1"/>
  <c r="S5" i="1"/>
  <c r="R4" i="1"/>
  <c r="S3" i="1"/>
  <c r="P5" i="1"/>
  <c r="I30" i="1"/>
  <c r="J30" i="1" s="1"/>
  <c r="J5" i="1"/>
  <c r="I22" i="1"/>
  <c r="J22" i="1" s="1"/>
  <c r="J12" i="1"/>
  <c r="I38" i="1"/>
  <c r="J38" i="1" s="1"/>
  <c r="J6" i="1"/>
  <c r="J14" i="1"/>
  <c r="J29" i="1"/>
  <c r="I13" i="1"/>
  <c r="J13" i="1" s="1"/>
  <c r="I4" i="1"/>
  <c r="J4" i="1" s="1"/>
  <c r="I21" i="1"/>
  <c r="J21" i="1" s="1"/>
  <c r="J20" i="1"/>
  <c r="J36" i="1"/>
  <c r="I28" i="1"/>
  <c r="J28" i="1" s="1"/>
  <c r="I37" i="1"/>
  <c r="J37" i="1" s="1"/>
  <c r="I44" i="1"/>
  <c r="J44" i="1" s="1"/>
  <c r="W19" i="1" l="1" a="1"/>
  <c r="W19" i="1" s="1"/>
  <c r="W28" i="1" a="1"/>
  <c r="W28" i="1" s="1"/>
  <c r="W16" i="1" a="1"/>
  <c r="W16" i="1" s="1"/>
  <c r="W25" i="1" a="1"/>
  <c r="W25" i="1" s="1"/>
  <c r="W17" i="1" a="1"/>
  <c r="W17" i="1" s="1"/>
  <c r="W42" i="1" a="1"/>
  <c r="W42" i="1" s="1"/>
  <c r="W36" i="1" a="1"/>
  <c r="W36" i="1" s="1"/>
  <c r="W3" i="1" a="1"/>
  <c r="W3" i="1" s="1"/>
  <c r="W18" i="1" a="1"/>
  <c r="W18" i="1" s="1"/>
  <c r="W31" i="1" a="1"/>
  <c r="W31" i="1" s="1"/>
  <c r="W21" i="1" a="1"/>
  <c r="W21" i="1" s="1"/>
  <c r="W32" i="1" a="1"/>
  <c r="W32" i="1" s="1"/>
  <c r="W43" i="1" a="1"/>
  <c r="W43" i="1" s="1"/>
  <c r="W4" i="1" a="1"/>
  <c r="W4" i="1" s="1"/>
  <c r="W20" i="1" a="1"/>
  <c r="W20" i="1" s="1"/>
  <c r="W39" i="1" a="1"/>
  <c r="W39" i="1" s="1"/>
  <c r="W23" i="1" a="1"/>
  <c r="W23" i="1" s="1"/>
  <c r="W41" i="1" a="1"/>
  <c r="W41" i="1" s="1"/>
  <c r="W44" i="1" a="1"/>
  <c r="W44" i="1" s="1"/>
  <c r="W22" i="1" a="1"/>
  <c r="W22" i="1" s="1"/>
  <c r="W27" i="1" a="1"/>
  <c r="W27" i="1" s="1"/>
  <c r="W6" i="1" a="1"/>
  <c r="W6" i="1" s="1"/>
  <c r="W5" i="1" a="1"/>
  <c r="W5" i="1" s="1"/>
  <c r="W34" i="1" a="1"/>
  <c r="W34" i="1" s="1"/>
  <c r="W8" i="1" a="1"/>
  <c r="W8" i="1" s="1"/>
  <c r="W24" i="1" a="1"/>
  <c r="W24" i="1" s="1"/>
  <c r="W7" i="1" a="1"/>
  <c r="W7" i="1" s="1"/>
  <c r="W29" i="1" a="1"/>
  <c r="W29" i="1" s="1"/>
  <c r="W30" i="1" a="1"/>
  <c r="W30" i="1" s="1"/>
  <c r="W10" i="1" a="1"/>
  <c r="W10" i="1" s="1"/>
  <c r="W26" i="1" a="1"/>
  <c r="W26" i="1" s="1"/>
  <c r="W9" i="1" a="1"/>
  <c r="W9" i="1" s="1"/>
  <c r="W33" i="1" a="1"/>
  <c r="W33" i="1" s="1"/>
  <c r="W38" i="1" a="1"/>
  <c r="W38" i="1" s="1"/>
  <c r="W12" i="1" a="1"/>
  <c r="W12" i="1" s="1"/>
  <c r="W15" i="1" a="1"/>
  <c r="W15" i="1" s="1"/>
  <c r="W11" i="1" a="1"/>
  <c r="W11" i="1" s="1"/>
  <c r="W35" i="1" a="1"/>
  <c r="W35" i="1" s="1"/>
  <c r="W40" i="1" a="1"/>
  <c r="W40" i="1" s="1"/>
  <c r="W14" i="1" a="1"/>
  <c r="W14" i="1" s="1"/>
  <c r="W13" i="1" a="1"/>
  <c r="W13" i="1" s="1"/>
  <c r="W37" i="1" a="1"/>
  <c r="W37" i="1" s="1"/>
  <c r="AB18" i="1" a="1"/>
  <c r="AB18" i="1" s="1"/>
  <c r="AB9" i="1" a="1"/>
  <c r="AB9" i="1" s="1"/>
  <c r="AB34" i="1" a="1"/>
  <c r="AB34" i="1" s="1"/>
  <c r="AB22" i="1" a="1"/>
  <c r="AB22" i="1" s="1"/>
  <c r="AB21" i="1" a="1"/>
  <c r="AB21" i="1" s="1"/>
  <c r="AB13" i="1" a="1"/>
  <c r="AB13" i="1" s="1"/>
  <c r="AB42" i="1" a="1"/>
  <c r="AB42" i="1" s="1"/>
  <c r="AB38" i="1" a="1"/>
  <c r="AB38" i="1" s="1"/>
  <c r="AB24" i="1" a="1"/>
  <c r="AB24" i="1" s="1"/>
  <c r="AB25" i="1" a="1"/>
  <c r="AB25" i="1" s="1"/>
  <c r="AB17" i="1" a="1"/>
  <c r="AB17" i="1" s="1"/>
  <c r="AB43" i="1" a="1"/>
  <c r="AB43" i="1" s="1"/>
  <c r="AB4" i="1" a="1"/>
  <c r="AB4" i="1" s="1"/>
  <c r="AB28" i="1" a="1"/>
  <c r="AB28" i="1" s="1"/>
  <c r="AB29" i="1" a="1"/>
  <c r="AB29" i="1" s="1"/>
  <c r="AB19" i="1" a="1"/>
  <c r="AB19" i="1" s="1"/>
  <c r="AB44" i="1" a="1"/>
  <c r="AB44" i="1" s="1"/>
  <c r="AB12" i="1" a="1"/>
  <c r="AB12" i="1" s="1"/>
  <c r="AB32" i="1" a="1"/>
  <c r="AB32" i="1" s="1"/>
  <c r="AB23" i="1" a="1"/>
  <c r="AB23" i="1" s="1"/>
  <c r="AB6" i="1" a="1"/>
  <c r="AB6" i="1" s="1"/>
  <c r="AB33" i="1" a="1"/>
  <c r="AB33" i="1" s="1"/>
  <c r="AB41" i="1" a="1"/>
  <c r="AB41" i="1" s="1"/>
  <c r="AB16" i="1" a="1"/>
  <c r="AB16" i="1" s="1"/>
  <c r="AB8" i="1" a="1"/>
  <c r="AB8" i="1" s="1"/>
  <c r="AB36" i="1" a="1"/>
  <c r="AB36" i="1" s="1"/>
  <c r="AB37" i="1" a="1"/>
  <c r="AB37" i="1" s="1"/>
  <c r="AB27" i="1" a="1"/>
  <c r="AB27" i="1" s="1"/>
  <c r="AB20" i="1" a="1"/>
  <c r="AB20" i="1" s="1"/>
  <c r="AB10" i="1" a="1"/>
  <c r="AB10" i="1" s="1"/>
  <c r="AB40" i="1" a="1"/>
  <c r="AB40" i="1" s="1"/>
  <c r="AB5" i="1" a="1"/>
  <c r="AB5" i="1" s="1"/>
  <c r="AB31" i="1" a="1"/>
  <c r="AB31" i="1" s="1"/>
  <c r="AB26" i="1" a="1"/>
  <c r="AB26" i="1" s="1"/>
  <c r="AB14" i="1" a="1"/>
  <c r="AB14" i="1" s="1"/>
  <c r="AB11" i="1" a="1"/>
  <c r="AB11" i="1" s="1"/>
  <c r="AB7" i="1" a="1"/>
  <c r="AB7" i="1" s="1"/>
  <c r="AB35" i="1" a="1"/>
  <c r="AB35" i="1" s="1"/>
  <c r="AB30" i="1" a="1"/>
  <c r="AB30" i="1" s="1"/>
  <c r="AB15" i="1" a="1"/>
  <c r="AB15" i="1" s="1"/>
  <c r="AB39" i="1" a="1"/>
  <c r="AB39" i="1" s="1"/>
  <c r="AB3" i="1" a="1"/>
  <c r="AB3" i="1" s="1"/>
  <c r="AA10" i="1" a="1"/>
  <c r="AA10" i="1" s="1"/>
  <c r="AA35" i="1" a="1"/>
  <c r="AA35" i="1" s="1"/>
  <c r="AA36" i="1" a="1"/>
  <c r="AA36" i="1" s="1"/>
  <c r="AA12" i="1" a="1"/>
  <c r="AA12" i="1" s="1"/>
  <c r="AA13" i="1" a="1"/>
  <c r="AA13" i="1" s="1"/>
  <c r="AA37" i="1" a="1"/>
  <c r="AA37" i="1" s="1"/>
  <c r="AA31" i="1" a="1"/>
  <c r="AA31" i="1" s="1"/>
  <c r="AA42" i="1" a="1"/>
  <c r="AA42" i="1" s="1"/>
  <c r="AA14" i="1" a="1"/>
  <c r="AA14" i="1" s="1"/>
  <c r="AA17" i="1" a="1"/>
  <c r="AA17" i="1" s="1"/>
  <c r="AA5" i="1" a="1"/>
  <c r="AA5" i="1" s="1"/>
  <c r="AA39" i="1" a="1"/>
  <c r="AA39" i="1" s="1"/>
  <c r="AA28" i="1" a="1"/>
  <c r="AA28" i="1" s="1"/>
  <c r="AA16" i="1" a="1"/>
  <c r="AA16" i="1" s="1"/>
  <c r="AA21" i="1" a="1"/>
  <c r="AA21" i="1" s="1"/>
  <c r="AA7" i="1" a="1"/>
  <c r="AA7" i="1" s="1"/>
  <c r="AA40" i="1" a="1"/>
  <c r="AA40" i="1" s="1"/>
  <c r="AA30" i="1" a="1"/>
  <c r="AA30" i="1" s="1"/>
  <c r="AA18" i="1" a="1"/>
  <c r="AA18" i="1" s="1"/>
  <c r="AA9" i="1" a="1"/>
  <c r="AA9" i="1" s="1"/>
  <c r="AA41" i="1" a="1"/>
  <c r="AA41" i="1" s="1"/>
  <c r="AA23" i="1" a="1"/>
  <c r="AA23" i="1" s="1"/>
  <c r="AA34" i="1" a="1"/>
  <c r="AA34" i="1" s="1"/>
  <c r="AA4" i="1" a="1"/>
  <c r="AA4" i="1" s="1"/>
  <c r="AA20" i="1" a="1"/>
  <c r="AA20" i="1" s="1"/>
  <c r="AA27" i="1" a="1"/>
  <c r="AA27" i="1" s="1"/>
  <c r="AA11" i="1" a="1"/>
  <c r="AA11" i="1" s="1"/>
  <c r="AA43" i="1" a="1"/>
  <c r="AA43" i="1" s="1"/>
  <c r="AA38" i="1" a="1"/>
  <c r="AA38" i="1" s="1"/>
  <c r="AA6" i="1" a="1"/>
  <c r="AA6" i="1" s="1"/>
  <c r="AA22" i="1" a="1"/>
  <c r="AA22" i="1" s="1"/>
  <c r="AA29" i="1" a="1"/>
  <c r="AA29" i="1" s="1"/>
  <c r="AA15" i="1" a="1"/>
  <c r="AA15" i="1" s="1"/>
  <c r="AA32" i="1" a="1"/>
  <c r="AA32" i="1" s="1"/>
  <c r="AA8" i="1" a="1"/>
  <c r="AA8" i="1" s="1"/>
  <c r="AA24" i="1" a="1"/>
  <c r="AA24" i="1" s="1"/>
  <c r="AA33" i="1" a="1"/>
  <c r="AA33" i="1" s="1"/>
  <c r="AA19" i="1" a="1"/>
  <c r="AA19" i="1" s="1"/>
  <c r="AA44" i="1" a="1"/>
  <c r="AA44" i="1" s="1"/>
  <c r="AA26" i="1" a="1"/>
  <c r="AA26" i="1" s="1"/>
  <c r="AA25" i="1" a="1"/>
  <c r="AA25" i="1" s="1"/>
  <c r="AA3" i="1" a="1"/>
  <c r="AA3" i="1" s="1"/>
  <c r="Z7" i="1" a="1"/>
  <c r="Z7" i="1" s="1"/>
  <c r="Z19" i="1" a="1"/>
  <c r="Z19" i="1" s="1"/>
  <c r="Z9" i="1" a="1"/>
  <c r="Z9" i="1" s="1"/>
  <c r="Z35" i="1" a="1"/>
  <c r="Z35" i="1" s="1"/>
  <c r="Z36" i="1" a="1"/>
  <c r="Z36" i="1" s="1"/>
  <c r="Z26" i="1" a="1"/>
  <c r="Z26" i="1" s="1"/>
  <c r="Z25" i="1" a="1"/>
  <c r="Z25" i="1" s="1"/>
  <c r="Z11" i="1" a="1"/>
  <c r="Z11" i="1" s="1"/>
  <c r="Z39" i="1" a="1"/>
  <c r="Z39" i="1" s="1"/>
  <c r="Z4" i="1" a="1"/>
  <c r="Z4" i="1" s="1"/>
  <c r="Z30" i="1" a="1"/>
  <c r="Z30" i="1" s="1"/>
  <c r="Z29" i="1" a="1"/>
  <c r="Z29" i="1" s="1"/>
  <c r="Z13" i="1" a="1"/>
  <c r="Z13" i="1" s="1"/>
  <c r="Z14" i="1" a="1"/>
  <c r="Z14" i="1" s="1"/>
  <c r="Z6" i="1" a="1"/>
  <c r="Z6" i="1" s="1"/>
  <c r="Z34" i="1" a="1"/>
  <c r="Z34" i="1" s="1"/>
  <c r="Z33" i="1" a="1"/>
  <c r="Z33" i="1" s="1"/>
  <c r="Z18" i="1" a="1"/>
  <c r="Z18" i="1" s="1"/>
  <c r="Z8" i="1" a="1"/>
  <c r="Z8" i="1" s="1"/>
  <c r="Z44" i="1" a="1"/>
  <c r="Z44" i="1" s="1"/>
  <c r="Z17" i="1" a="1"/>
  <c r="Z17" i="1" s="1"/>
  <c r="Z37" i="1" a="1"/>
  <c r="Z37" i="1" s="1"/>
  <c r="Z21" i="1" a="1"/>
  <c r="Z21" i="1" s="1"/>
  <c r="Z20" i="1" a="1"/>
  <c r="Z20" i="1" s="1"/>
  <c r="Z10" i="1" a="1"/>
  <c r="Z10" i="1" s="1"/>
  <c r="Z42" i="1" a="1"/>
  <c r="Z42" i="1" s="1"/>
  <c r="Z41" i="1" a="1"/>
  <c r="Z41" i="1" s="1"/>
  <c r="Z23" i="1" a="1"/>
  <c r="Z23" i="1" s="1"/>
  <c r="Z24" i="1" a="1"/>
  <c r="Z24" i="1" s="1"/>
  <c r="Z12" i="1" a="1"/>
  <c r="Z12" i="1" s="1"/>
  <c r="Z43" i="1" a="1"/>
  <c r="Z43" i="1" s="1"/>
  <c r="Z5" i="1" a="1"/>
  <c r="Z5" i="1" s="1"/>
  <c r="Z27" i="1" a="1"/>
  <c r="Z27" i="1" s="1"/>
  <c r="Z28" i="1" a="1"/>
  <c r="Z28" i="1" s="1"/>
  <c r="Z16" i="1" a="1"/>
  <c r="Z16" i="1" s="1"/>
  <c r="Z38" i="1" a="1"/>
  <c r="Z38" i="1" s="1"/>
  <c r="Z3" i="1" a="1"/>
  <c r="Z3" i="1" s="1"/>
  <c r="Z15" i="1" a="1"/>
  <c r="Z15" i="1" s="1"/>
  <c r="Z31" i="1" a="1"/>
  <c r="Z31" i="1" s="1"/>
  <c r="Z32" i="1" a="1"/>
  <c r="Z32" i="1" s="1"/>
  <c r="Z22" i="1" a="1"/>
  <c r="Z22" i="1" s="1"/>
  <c r="Z40" i="1" a="1"/>
  <c r="Z40" i="1" s="1"/>
  <c r="Y26" i="1" a="1"/>
  <c r="Y26" i="1" s="1"/>
  <c r="Y40" i="1" a="1"/>
  <c r="Y40" i="1" s="1"/>
  <c r="Y5" i="1" a="1"/>
  <c r="Y5" i="1" s="1"/>
  <c r="Y21" i="1" a="1"/>
  <c r="Y21" i="1" s="1"/>
  <c r="Y28" i="1" a="1"/>
  <c r="Y28" i="1" s="1"/>
  <c r="Y14" i="1" a="1"/>
  <c r="Y14" i="1" s="1"/>
  <c r="Y37" i="1" a="1"/>
  <c r="Y37" i="1" s="1"/>
  <c r="Y31" i="1" a="1"/>
  <c r="Y31" i="1" s="1"/>
  <c r="Y7" i="1" a="1"/>
  <c r="Y7" i="1" s="1"/>
  <c r="Y23" i="1" a="1"/>
  <c r="Y23" i="1" s="1"/>
  <c r="Y32" i="1" a="1"/>
  <c r="Y32" i="1" s="1"/>
  <c r="Y18" i="1" a="1"/>
  <c r="Y18" i="1" s="1"/>
  <c r="Y39" i="1" a="1"/>
  <c r="Y39" i="1" s="1"/>
  <c r="Y9" i="1" a="1"/>
  <c r="Y9" i="1" s="1"/>
  <c r="Y25" i="1" a="1"/>
  <c r="Y25" i="1" s="1"/>
  <c r="Y34" i="1" a="1"/>
  <c r="Y34" i="1" s="1"/>
  <c r="Y24" i="1" a="1"/>
  <c r="Y24" i="1" s="1"/>
  <c r="Y43" i="1" a="1"/>
  <c r="Y43" i="1" s="1"/>
  <c r="Y11" i="1" a="1"/>
  <c r="Y11" i="1" s="1"/>
  <c r="Y10" i="1" a="1"/>
  <c r="Y10" i="1" s="1"/>
  <c r="Y30" i="1" a="1"/>
  <c r="Y30" i="1" s="1"/>
  <c r="Y27" i="1" a="1"/>
  <c r="Y27" i="1" s="1"/>
  <c r="Y36" i="1" a="1"/>
  <c r="Y36" i="1" s="1"/>
  <c r="Y13" i="1" a="1"/>
  <c r="Y13" i="1" s="1"/>
  <c r="Y16" i="1" a="1"/>
  <c r="Y16" i="1" s="1"/>
  <c r="Y4" i="1" a="1"/>
  <c r="Y4" i="1" s="1"/>
  <c r="Y38" i="1" a="1"/>
  <c r="Y38" i="1" s="1"/>
  <c r="Y35" i="1" a="1"/>
  <c r="Y35" i="1" s="1"/>
  <c r="Y15" i="1" a="1"/>
  <c r="Y15" i="1" s="1"/>
  <c r="Y20" i="1" a="1"/>
  <c r="Y20" i="1" s="1"/>
  <c r="Y6" i="1" a="1"/>
  <c r="Y6" i="1" s="1"/>
  <c r="Y44" i="1" a="1"/>
  <c r="Y44" i="1" s="1"/>
  <c r="Y41" i="1" a="1"/>
  <c r="Y41" i="1" s="1"/>
  <c r="Y17" i="1" a="1"/>
  <c r="Y17" i="1" s="1"/>
  <c r="Y22" i="1" a="1"/>
  <c r="Y22" i="1" s="1"/>
  <c r="Y8" i="1" a="1"/>
  <c r="Y8" i="1" s="1"/>
  <c r="Y42" i="1" a="1"/>
  <c r="Y42" i="1" s="1"/>
  <c r="Y33" i="1" a="1"/>
  <c r="Y33" i="1" s="1"/>
  <c r="Y19" i="1" a="1"/>
  <c r="Y19" i="1" s="1"/>
  <c r="Y12" i="1" a="1"/>
  <c r="Y12" i="1" s="1"/>
  <c r="Y29" i="1" a="1"/>
  <c r="Y29" i="1" s="1"/>
  <c r="Y3" i="1" a="1"/>
  <c r="Y3" i="1" s="1"/>
  <c r="X38" i="1" a="1"/>
  <c r="X38" i="1" s="1"/>
  <c r="X29" i="1" a="1"/>
  <c r="X29" i="1" s="1"/>
  <c r="X8" i="1" a="1"/>
  <c r="X8" i="1" s="1"/>
  <c r="X33" i="1" a="1"/>
  <c r="X33" i="1" s="1"/>
  <c r="X42" i="1" a="1"/>
  <c r="X42" i="1" s="1"/>
  <c r="X5" i="1" a="1"/>
  <c r="X5" i="1" s="1"/>
  <c r="X24" i="1" a="1"/>
  <c r="X24" i="1" s="1"/>
  <c r="X12" i="1" a="1"/>
  <c r="X12" i="1" s="1"/>
  <c r="X9" i="1" a="1"/>
  <c r="X9" i="1" s="1"/>
  <c r="X7" i="1" a="1"/>
  <c r="X7" i="1" s="1"/>
  <c r="X28" i="1" a="1"/>
  <c r="X28" i="1" s="1"/>
  <c r="X16" i="1" a="1"/>
  <c r="X16" i="1" s="1"/>
  <c r="X13" i="1" a="1"/>
  <c r="X13" i="1" s="1"/>
  <c r="X11" i="1" a="1"/>
  <c r="X11" i="1" s="1"/>
  <c r="X43" i="1" a="1"/>
  <c r="X43" i="1" s="1"/>
  <c r="X3" i="1" a="1"/>
  <c r="X3" i="1" s="1"/>
  <c r="X20" i="1" a="1"/>
  <c r="X20" i="1" s="1"/>
  <c r="X17" i="1" a="1"/>
  <c r="X17" i="1" s="1"/>
  <c r="X41" i="1" a="1"/>
  <c r="X41" i="1" s="1"/>
  <c r="X39" i="1" a="1"/>
  <c r="X39" i="1" s="1"/>
  <c r="X44" i="1" a="1"/>
  <c r="X44" i="1" s="1"/>
  <c r="X32" i="1" a="1"/>
  <c r="X32" i="1" s="1"/>
  <c r="X15" i="1" a="1"/>
  <c r="X15" i="1" s="1"/>
  <c r="X19" i="1" a="1"/>
  <c r="X19" i="1" s="1"/>
  <c r="X36" i="1" a="1"/>
  <c r="X36" i="1" s="1"/>
  <c r="X26" i="1" a="1"/>
  <c r="X26" i="1" s="1"/>
  <c r="X23" i="1" a="1"/>
  <c r="X23" i="1" s="1"/>
  <c r="X10" i="1" a="1"/>
  <c r="X10" i="1" s="1"/>
  <c r="X40" i="1" a="1"/>
  <c r="X40" i="1" s="1"/>
  <c r="X30" i="1" a="1"/>
  <c r="X30" i="1" s="1"/>
  <c r="X27" i="1" a="1"/>
  <c r="X27" i="1" s="1"/>
  <c r="X21" i="1" a="1"/>
  <c r="X21" i="1" s="1"/>
  <c r="X37" i="1" a="1"/>
  <c r="X37" i="1" s="1"/>
  <c r="X14" i="1" a="1"/>
  <c r="X14" i="1" s="1"/>
  <c r="X4" i="1" a="1"/>
  <c r="X4" i="1" s="1"/>
  <c r="X34" i="1" a="1"/>
  <c r="X34" i="1" s="1"/>
  <c r="X31" i="1" a="1"/>
  <c r="X31" i="1" s="1"/>
  <c r="X25" i="1" a="1"/>
  <c r="X25" i="1" s="1"/>
  <c r="X18" i="1" a="1"/>
  <c r="X18" i="1" s="1"/>
  <c r="X6" i="1" a="1"/>
  <c r="X6" i="1" s="1"/>
  <c r="X35" i="1" a="1"/>
  <c r="X35" i="1" s="1"/>
  <c r="X22" i="1" a="1"/>
  <c r="X22" i="1" s="1"/>
  <c r="AC13" i="1" l="1"/>
  <c r="AC8" i="1"/>
  <c r="AC18" i="1"/>
  <c r="AC14" i="1"/>
  <c r="AC9" i="1"/>
  <c r="AC34" i="1"/>
  <c r="AC39" i="1"/>
  <c r="AC3" i="1"/>
  <c r="P17" i="1" s="1"/>
  <c r="AC40" i="1"/>
  <c r="AC26" i="1"/>
  <c r="AC5" i="1"/>
  <c r="AC20" i="1"/>
  <c r="AC36" i="1"/>
  <c r="AC35" i="1"/>
  <c r="AC10" i="1"/>
  <c r="AC6" i="1"/>
  <c r="AC4" i="1"/>
  <c r="AC42" i="1"/>
  <c r="AC11" i="1"/>
  <c r="AC27" i="1"/>
  <c r="AC17" i="1"/>
  <c r="AC30" i="1"/>
  <c r="AC43" i="1"/>
  <c r="AC15" i="1"/>
  <c r="AC29" i="1"/>
  <c r="AC22" i="1"/>
  <c r="AC32" i="1"/>
  <c r="AC25" i="1"/>
  <c r="AC12" i="1"/>
  <c r="AC7" i="1"/>
  <c r="AC44" i="1"/>
  <c r="AC21" i="1"/>
  <c r="AC16" i="1"/>
  <c r="AC37" i="1"/>
  <c r="AC38" i="1"/>
  <c r="AC24" i="1"/>
  <c r="AC41" i="1"/>
  <c r="AC31" i="1"/>
  <c r="AC28" i="1"/>
  <c r="AC33" i="1"/>
  <c r="AC23" i="1"/>
  <c r="AC19" i="1"/>
  <c r="P16"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<sst xmlns="http://schemas.openxmlformats.org/spreadsheetml/2006/main" count="1460" uniqueCount="256">
  <si>
    <t>File:</t>
  </si>
  <si>
    <t>Description of File:</t>
  </si>
  <si>
    <t>https://fredpink.com/</t>
  </si>
  <si>
    <t>Wrestler Name</t>
  </si>
  <si>
    <t>weight (in kg)</t>
  </si>
  <si>
    <t>height (in cm)</t>
  </si>
  <si>
    <t>height in inches</t>
  </si>
  <si>
    <t>height (feet)</t>
  </si>
  <si>
    <t>height (inches)</t>
  </si>
  <si>
    <t>Height (American)</t>
  </si>
  <si>
    <t>Weight (pounds)</t>
  </si>
  <si>
    <t>Tournaments won</t>
  </si>
  <si>
    <t>Rank for January 2022</t>
  </si>
  <si>
    <t>M17W</t>
  </si>
  <si>
    <t>Yokozuna</t>
  </si>
  <si>
    <t>M15W</t>
  </si>
  <si>
    <t>M18E</t>
  </si>
  <si>
    <t>M15E</t>
  </si>
  <si>
    <t>M17E</t>
  </si>
  <si>
    <t>M16E</t>
  </si>
  <si>
    <t>M13E</t>
  </si>
  <si>
    <t>M14E</t>
  </si>
  <si>
    <t>M02W</t>
  </si>
  <si>
    <t>M04E</t>
  </si>
  <si>
    <t>M03E</t>
  </si>
  <si>
    <t>M06W</t>
  </si>
  <si>
    <t>BMI</t>
  </si>
  <si>
    <t>M07E</t>
  </si>
  <si>
    <t>M10E</t>
  </si>
  <si>
    <t>M14W</t>
  </si>
  <si>
    <t>M03W</t>
  </si>
  <si>
    <t>Sekiwake</t>
  </si>
  <si>
    <t>M01W</t>
  </si>
  <si>
    <t>M04W</t>
  </si>
  <si>
    <t>M07W</t>
  </si>
  <si>
    <t>M08E</t>
  </si>
  <si>
    <t>M10W</t>
  </si>
  <si>
    <t>M13W</t>
  </si>
  <si>
    <t>M16W</t>
  </si>
  <si>
    <t>Ozeki</t>
  </si>
  <si>
    <t>M05W</t>
  </si>
  <si>
    <t>M11E</t>
  </si>
  <si>
    <t>Komusubi</t>
  </si>
  <si>
    <t>M12W</t>
  </si>
  <si>
    <t>M01E</t>
  </si>
  <si>
    <t>M09E</t>
  </si>
  <si>
    <t>M09W</t>
  </si>
  <si>
    <t>M05E</t>
  </si>
  <si>
    <t>M02E</t>
  </si>
  <si>
    <t>M08W</t>
  </si>
  <si>
    <t>M12E</t>
  </si>
  <si>
    <t>M11W</t>
  </si>
  <si>
    <t>Cluster</t>
  </si>
  <si>
    <t>Centroid</t>
  </si>
  <si>
    <t># of clusters</t>
  </si>
  <si>
    <t>Minkowski p</t>
  </si>
  <si>
    <t># of runs</t>
  </si>
  <si>
    <t>X 1</t>
  </si>
  <si>
    <t>X 2</t>
  </si>
  <si>
    <t>Dist^p</t>
  </si>
  <si>
    <t># of iter</t>
  </si>
  <si>
    <t>Converge</t>
  </si>
  <si>
    <t>Error</t>
  </si>
  <si>
    <t>6' 4.4"</t>
  </si>
  <si>
    <t>6' 3.6"</t>
  </si>
  <si>
    <t>6' 3.2"</t>
  </si>
  <si>
    <t>6' 2.8"</t>
  </si>
  <si>
    <t>6' 2.4"</t>
  </si>
  <si>
    <t>6' 2"</t>
  </si>
  <si>
    <t>6' 1.6"</t>
  </si>
  <si>
    <t>6' 0"</t>
  </si>
  <si>
    <t>6' 1.2"</t>
  </si>
  <si>
    <t>6' 0.8"</t>
  </si>
  <si>
    <t>6' 0.4"</t>
  </si>
  <si>
    <t>5' 11.7"</t>
  </si>
  <si>
    <t>5' 11.3"</t>
  </si>
  <si>
    <t>5' 10.9"</t>
  </si>
  <si>
    <t>5' 10.5"</t>
  </si>
  <si>
    <t>5' 10.1"</t>
  </si>
  <si>
    <t>5' 9.7"</t>
  </si>
  <si>
    <t>5' 9.3"</t>
  </si>
  <si>
    <t>5' 8.9"</t>
  </si>
  <si>
    <t>5' 7.7"</t>
  </si>
  <si>
    <t>5' 6.5"</t>
  </si>
  <si>
    <t>X 3</t>
  </si>
  <si>
    <t>Kaisei</t>
  </si>
  <si>
    <t>Terunofuji</t>
  </si>
  <si>
    <t>Tochinoshin</t>
  </si>
  <si>
    <t>Oho</t>
  </si>
  <si>
    <t>Ichinojo</t>
  </si>
  <si>
    <t>Okinoumi</t>
  </si>
  <si>
    <t>Aoiyama</t>
  </si>
  <si>
    <t>Tamawashi</t>
  </si>
  <si>
    <t>Abi</t>
  </si>
  <si>
    <t>Kotonowaka</t>
  </si>
  <si>
    <t>Hoshoryu</t>
  </si>
  <si>
    <t>Takayasu</t>
  </si>
  <si>
    <t>Myogiryu</t>
  </si>
  <si>
    <t>Ichiyamamoto</t>
  </si>
  <si>
    <t>Endo</t>
  </si>
  <si>
    <t>Wakamotoharu</t>
  </si>
  <si>
    <t>Takanosho</t>
  </si>
  <si>
    <t>Kiribayama</t>
  </si>
  <si>
    <t>Hokutofuji</t>
  </si>
  <si>
    <t>Takarafuji</t>
  </si>
  <si>
    <t>Hidenoumi</t>
  </si>
  <si>
    <t>Akua</t>
  </si>
  <si>
    <t>Yutakayama</t>
  </si>
  <si>
    <t>Tsurugisho</t>
  </si>
  <si>
    <t>Shodai</t>
  </si>
  <si>
    <t>Chiyoshoma</t>
  </si>
  <si>
    <t>Sadanoumi</t>
  </si>
  <si>
    <t>Daieisho</t>
  </si>
  <si>
    <t>Chiyotairyu</t>
  </si>
  <si>
    <t>Wakatakakage</t>
  </si>
  <si>
    <t>Chiyonokuni</t>
  </si>
  <si>
    <t>Mitakeumi</t>
  </si>
  <si>
    <t>Meisei</t>
  </si>
  <si>
    <t>Shimanoumi</t>
  </si>
  <si>
    <t>Chiyomaru</t>
  </si>
  <si>
    <t>Onosho</t>
  </si>
  <si>
    <t>Ura</t>
  </si>
  <si>
    <t>Kotoeko</t>
  </si>
  <si>
    <t>Takakeisho</t>
  </si>
  <si>
    <t>Tobizaru</t>
  </si>
  <si>
    <t>Ishiura</t>
  </si>
  <si>
    <t>Terutsuyoshi</t>
  </si>
  <si>
    <t>https://twitter.com/SumoFollower/status/1518933651962138624</t>
  </si>
  <si>
    <t>Sekitori weights are out! The previous time they were published was in August 2021. Terunofuji lost 3kg, now 181kg, Mitakeumi lost 5kg, now 169, Wakatkakage gained 1kg, now 131, Hoshoryu gained 9kg, now 141, Takayasu gained 7kg, now 184, Ichinojo gained 5kg, now 211.</t>
  </si>
  <si>
    <t>for January 2022 tournament</t>
  </si>
  <si>
    <t>Update for May 2022 tournament</t>
  </si>
  <si>
    <t>Rank for September 2022</t>
  </si>
  <si>
    <t>M01</t>
  </si>
  <si>
    <t>Midorifuji</t>
  </si>
  <si>
    <t>https://www.sumo.or.jp/EnHonbashoBanzuke/index/</t>
  </si>
  <si>
    <t>M07</t>
  </si>
  <si>
    <t>M02</t>
  </si>
  <si>
    <t>M03</t>
  </si>
  <si>
    <t>Nishikigi</t>
  </si>
  <si>
    <t>M04</t>
  </si>
  <si>
    <t>M05</t>
  </si>
  <si>
    <t>M06</t>
  </si>
  <si>
    <t>M08</t>
  </si>
  <si>
    <t>M09</t>
  </si>
  <si>
    <t>Nishikifuji</t>
  </si>
  <si>
    <t>M10</t>
  </si>
  <si>
    <t>Kotoshoho</t>
  </si>
  <si>
    <t>M11</t>
  </si>
  <si>
    <t>M12</t>
  </si>
  <si>
    <t>Ryuden</t>
  </si>
  <si>
    <t>M13</t>
  </si>
  <si>
    <t>M14</t>
  </si>
  <si>
    <t>M15</t>
  </si>
  <si>
    <t>Mitoryu</t>
  </si>
  <si>
    <t>M16</t>
  </si>
  <si>
    <t>Hiradoumi</t>
  </si>
  <si>
    <t>Rank value</t>
  </si>
  <si>
    <t>https://www.reddit.com/r/SumoMemes/comments/x7stvh/latest_rikishi_heightweight_table_from_nikkan/</t>
  </si>
  <si>
    <t>Original Data courtesy of Fred Pinkerton</t>
  </si>
  <si>
    <t>Update for September 2022</t>
  </si>
  <si>
    <t>Update for November 2022</t>
  </si>
  <si>
    <t>as of 6 Nov 2022</t>
  </si>
  <si>
    <t xml:space="preserve">https://www.sumo.or.jp/EnHonbashoBanzuke/index/ </t>
  </si>
  <si>
    <t>Rank for November 2022</t>
  </si>
  <si>
    <t>Notes</t>
  </si>
  <si>
    <t>just had knee surgery, will not be at November tournament</t>
  </si>
  <si>
    <t>Azumaryu</t>
  </si>
  <si>
    <t>Kagayaki</t>
  </si>
  <si>
    <t>Atamifuji</t>
  </si>
  <si>
    <t>J04</t>
  </si>
  <si>
    <t>J03</t>
  </si>
  <si>
    <t>rank by height</t>
  </si>
  <si>
    <t>rank by weight</t>
  </si>
  <si>
    <t>rank by BMI</t>
  </si>
  <si>
    <t>need to build up history of ranks</t>
  </si>
  <si>
    <t>Rank for January 2023</t>
  </si>
  <si>
    <t>Will be out for January 2023 tournament</t>
  </si>
  <si>
    <t>Current rank value</t>
  </si>
  <si>
    <t>heights and weights checked Jan 6, 2023</t>
  </si>
  <si>
    <t>retired</t>
  </si>
  <si>
    <t>J10</t>
  </si>
  <si>
    <t>weight in November (kg)</t>
  </si>
  <si>
    <t>Change</t>
  </si>
  <si>
    <t>Update for January 2023</t>
  </si>
  <si>
    <t>as of 6 Jan 2023</t>
  </si>
  <si>
    <t>Rank for March 2023</t>
  </si>
  <si>
    <t>M17</t>
  </si>
  <si>
    <t>J08</t>
  </si>
  <si>
    <t>Daishoho</t>
  </si>
  <si>
    <t>Kinbozan</t>
  </si>
  <si>
    <t>Bushozan</t>
  </si>
  <si>
    <t>Hokuseiho</t>
  </si>
  <si>
    <t>J02</t>
  </si>
  <si>
    <t>retired January 2023</t>
  </si>
  <si>
    <t>Ms01</t>
  </si>
  <si>
    <t>Height went from 185 to 188?</t>
  </si>
  <si>
    <t>Height went from 183 to 182?</t>
  </si>
  <si>
    <t>heights and weights checked Mar 5, 2023?</t>
  </si>
  <si>
    <t>height went up from 186 to 187</t>
  </si>
  <si>
    <t>height went up from 183 to 184</t>
  </si>
  <si>
    <t>height went from 187 to 186</t>
  </si>
  <si>
    <t>height went from 187 to 188</t>
  </si>
  <si>
    <t>height went from 184 to 185</t>
  </si>
  <si>
    <t>height went from 178 to 177</t>
  </si>
  <si>
    <t>height went from 189 up to 191</t>
  </si>
  <si>
    <t>height went from 183 to 184</t>
  </si>
  <si>
    <t>height went from 186 to 188</t>
  </si>
  <si>
    <t>height went from 189 to 188</t>
  </si>
  <si>
    <t>height went from 190 to 191</t>
  </si>
  <si>
    <t>height went from 184 to 183</t>
  </si>
  <si>
    <t>height went from 191 to 192</t>
  </si>
  <si>
    <t>height went from 189 to 190</t>
  </si>
  <si>
    <t>height went from 190 to 189</t>
  </si>
  <si>
    <t>height went from 177 to 178</t>
  </si>
  <si>
    <t>Update for March 2023</t>
  </si>
  <si>
    <t>as of 5 Mar 2023</t>
  </si>
  <si>
    <t>height in January (cm)</t>
  </si>
  <si>
    <t>Day 14 record</t>
  </si>
  <si>
    <t>OUT</t>
  </si>
  <si>
    <t>Label</t>
  </si>
  <si>
    <t>7-6</t>
  </si>
  <si>
    <t>9-4</t>
  </si>
  <si>
    <t>10-3</t>
  </si>
  <si>
    <t>11-2</t>
  </si>
  <si>
    <t>4-9</t>
  </si>
  <si>
    <t>8-5</t>
  </si>
  <si>
    <t>3-10</t>
  </si>
  <si>
    <t>8-12</t>
  </si>
  <si>
    <t>5-8</t>
  </si>
  <si>
    <t>6-7</t>
  </si>
  <si>
    <t>Rank for May 2023</t>
  </si>
  <si>
    <t>Asanoyama</t>
  </si>
  <si>
    <t>J05</t>
  </si>
  <si>
    <t>Ms05</t>
  </si>
  <si>
    <t>lost 6 kg since last measure</t>
  </si>
  <si>
    <t>heights and weights checked May 6, 2023</t>
  </si>
  <si>
    <t>3 kg up</t>
  </si>
  <si>
    <t>4 kg up</t>
  </si>
  <si>
    <t>5 kg up</t>
  </si>
  <si>
    <t>1 kg up</t>
  </si>
  <si>
    <t>Kadoban for 6th time in career, no change in stats</t>
  </si>
  <si>
    <t>1 kg down</t>
  </si>
  <si>
    <t>Has an injury -- will be out for a while and will likely drop down a lot -- no change in stats, but probably didn't weigh in</t>
  </si>
  <si>
    <t>2 kg up</t>
  </si>
  <si>
    <t>no change</t>
  </si>
  <si>
    <t>6 kg up</t>
  </si>
  <si>
    <t>3 kg down</t>
  </si>
  <si>
    <t>2 kg down</t>
  </si>
  <si>
    <t>7 kg up</t>
  </si>
  <si>
    <t>https://conning-my.sharepoint.com/personal/marypat_campbell_conning_com/Documents/Documents/STUMP writing/sumo/[May 2023 Grand Sumo tournament height and weight.xlsx]Documentation Information</t>
  </si>
  <si>
    <t>Update for May 2023</t>
  </si>
  <si>
    <t>as of 6 May 2023</t>
  </si>
  <si>
    <t>6 kg down</t>
  </si>
  <si>
    <t>new entrant</t>
  </si>
  <si>
    <t>retired right before May 2023, no change</t>
  </si>
  <si>
    <t>8 kg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</si>
</sst>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font>
      <sz val="11"/>
      <color theme="1"/>
      <name val="Calibri"/>
      <family val="2"/>
      <scheme val="minor"/>
    </font>
    <font>
      <sz val="10"/>
      <color theme="1"/>
      <name val="Liberation Sans"/>
    </font>
    <font>
      <b/>
      <u/>
      <sz val="11"/>
      <color theme="1"/>
      <name val="Calibri"/>
      <family val="2"/>
      <scheme val="minor"/>
    </font>
    <font>
      <u/>
      <sz val="11"/>
      <color theme="10"/>
      <name val="Calibri"/>
      <family val="2"/>
      <scheme val="minor"/>
    </font>
    <font>
      <sz val="17"/>
      <color rgb="FF0F1419"/>
      <name val="Segoe UI"/>
      <family val="2"/>
    </font>
  </fonts>
  <fills count="3">
    <fill>
      <patternFill patternType="none"/>
    </fill>
    <fill>
      <patternFill patternType="gray125"/>
    </fill>
    <fill>
      <patternFill patternType="solid">
        <fgColor theme="9" tint="0.89999084444715716"/>
        <bgColor indexed="64"/>
      </patternFill>
    </fill>
  </fills>
  <borders count="10">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s>
  <cellStyleXfs count="2">
    <xf numFmtId="0" fontId="0" fillId="0" borderId="0"/>
    <xf numFmtId="0" fontId="3" fillId="0" borderId="0" applyNumberFormat="0" applyFill="0" applyBorder="0" applyAlignment="0" applyProtection="0"/>
  </cellStyleXfs>
  <cellXfs count="23">
    <xf numFmtId="0" fontId="0" fillId="0" borderId="0" xfId="0"/>
    <xf numFmtId="0" fontId="1" fillId="0" borderId="0" xfId="0" applyFont="1" applyAlignment="1">
      <alignment horizontal="left" vertical="center" wrapText="1"/>
    </xf>
    <xf numFmtId="0" fontId="1" fillId="0" borderId="0" xfId="0" applyFont="1" applyAlignment="1">
      <alignment horizontal="right" vertical="center" wrapText="1"/>
    </xf>
    <xf numFmtId="0" fontId="2" fillId="0" borderId="0" xfId="0" applyFont="1"/>
    <xf numFmtId="2" fontId="0" fillId="0" borderId="0" xfId="0" applyNumberFormat="1"/>
    <xf numFmtId="2" fontId="1" fillId="0" borderId="0" xfId="0" applyNumberFormat="1" applyFont="1" applyAlignment="1">
      <alignment horizontal="right" vertical="center" wrapText="1"/>
    </xf>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0" xfId="0" applyAlignment="1">
      <alignment horizontal="right"/>
    </xf>
    <xf numFmtId="0" fontId="0" fillId="0" borderId="0" xfId="0" applyAlignment="1">
      <alignment horizontal="center"/>
    </xf>
    <xf numFmtId="0" fontId="0" fillId="0" borderId="9" xfId="0" applyBorder="1"/>
    <xf numFmtId="0" fontId="3" fillId="0" borderId="0" xfId="1"/>
    <xf numFmtId="0" fontId="4" fillId="0" borderId="0" xfId="0" applyFont="1"/>
    <xf numFmtId="0" fontId="1" fillId="2" borderId="0" xfId="0" applyFont="1" applyFill="1" applyAlignment="1">
      <alignment horizontal="right" vertical="center" wrapText="1"/>
    </xf>
    <xf numFmtId="0" fontId="0" fillId="2" borderId="0" xfId="0" applyFill="1"/>
    <xf numFmtId="16" fontId="0" fillId="0" borderId="0" xfId="0" quotePrefix="1" applyNumberFormat="1"/>
    <xf numFmtId="0" fontId="0" fillId="0" borderId="0" xfId="0" quotePrefix="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worksheet" Target="worksheets/sheet9.xml"/><Relationship Id="rId3" Type="http://schemas.openxmlformats.org/officeDocument/2006/relationships/chartsheet" Target="chartsheets/sheet3.xml"/><Relationship Id="rId21" Type="http://schemas.openxmlformats.org/officeDocument/2006/relationships/theme" Target="theme/theme1.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worksheet" Target="worksheets/sheet8.xml"/><Relationship Id="rId25" Type="http://schemas.openxmlformats.org/officeDocument/2006/relationships/calcChain" Target="calcChain.xml"/><Relationship Id="rId2" Type="http://schemas.openxmlformats.org/officeDocument/2006/relationships/chartsheet" Target="chartsheets/sheet2.xml"/><Relationship Id="rId16" Type="http://schemas.openxmlformats.org/officeDocument/2006/relationships/chartsheet" Target="chartsheets/sheet9.xml"/><Relationship Id="rId20" Type="http://schemas.openxmlformats.org/officeDocument/2006/relationships/externalLink" Target="externalLinks/externalLink1.xml"/><Relationship Id="rId1" Type="http://schemas.openxmlformats.org/officeDocument/2006/relationships/chartsheet" Target="chartsheets/sheet1.xml"/><Relationship Id="rId6" Type="http://schemas.openxmlformats.org/officeDocument/2006/relationships/worksheet" Target="worksheets/sheet1.xml"/><Relationship Id="rId11" Type="http://schemas.openxmlformats.org/officeDocument/2006/relationships/worksheet" Target="worksheets/sheet3.xml"/><Relationship Id="rId24" Type="http://schemas.openxmlformats.org/officeDocument/2006/relationships/sheetMetadata" Target="metadata.xml"/><Relationship Id="rId5" Type="http://schemas.openxmlformats.org/officeDocument/2006/relationships/chartsheet" Target="chartsheets/sheet5.xml"/><Relationship Id="rId15" Type="http://schemas.openxmlformats.org/officeDocument/2006/relationships/worksheet" Target="worksheets/sheet7.xml"/><Relationship Id="rId23" Type="http://schemas.openxmlformats.org/officeDocument/2006/relationships/sharedStrings" Target="sharedStrings.xml"/><Relationship Id="rId10" Type="http://schemas.openxmlformats.org/officeDocument/2006/relationships/worksheet" Target="worksheets/sheet2.xml"/><Relationship Id="rId19" Type="http://schemas.openxmlformats.org/officeDocument/2006/relationships/worksheet" Target="worksheets/sheet10.xml"/><Relationship Id="rId4" Type="http://schemas.openxmlformats.org/officeDocument/2006/relationships/chartsheet" Target="chartsheets/sheet4.xml"/><Relationship Id="rId9" Type="http://schemas.openxmlformats.org/officeDocument/2006/relationships/chartsheet" Target="chartsheets/sheet8.xml"/><Relationship Id="rId14" Type="http://schemas.openxmlformats.org/officeDocument/2006/relationships/worksheet" Target="worksheets/sheet6.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58440380385571E-2"/>
          <c:y val="7.4949572770744155E-2"/>
          <c:w val="0.89687480419277577"/>
          <c:h val="0.85594431898299383"/>
        </c:manualLayout>
      </c:layout>
      <c:scatterChart>
        <c:scatterStyle val="lineMarker"/>
        <c:varyColors val="0"/>
        <c:ser>
          <c:idx val="0"/>
          <c:order val="0"/>
          <c:tx>
            <c:v>January 2022 Makuuchi Wrestlers</c:v>
          </c:tx>
          <c:spPr>
            <a:ln w="25400" cap="rnd">
              <a:noFill/>
              <a:round/>
            </a:ln>
            <a:effectLst/>
          </c:spPr>
          <c:marker>
            <c:symbol val="circle"/>
            <c:size val="5"/>
            <c:spPr>
              <a:solidFill>
                <a:schemeClr val="accent3"/>
              </a:solidFill>
              <a:ln w="9525">
                <a:solidFill>
                  <a:schemeClr val="accent5"/>
                </a:solidFill>
              </a:ln>
              <a:effectLst/>
            </c:spPr>
          </c:marker>
          <c:dLbls>
            <c:dLbl>
              <c:idx val="0"/>
              <c:tx>
                <c:rich>
                  <a:bodyPr/>
                  <a:lstStyle/>
                  <a:p>
                    <a:fld id="{9D9358A9-2CA1-43D2-BFB2-7A98844370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E0C-4F86-9CDA-8C26B98E7B10}"/>
                </c:ext>
              </c:extLst>
            </c:dLbl>
            <c:dLbl>
              <c:idx val="1"/>
              <c:tx>
                <c:rich>
                  <a:bodyPr/>
                  <a:lstStyle/>
                  <a:p>
                    <a:fld id="{53B6E038-8C4E-440D-87DA-FF30338551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0C-4F86-9CDA-8C26B98E7B10}"/>
                </c:ext>
              </c:extLst>
            </c:dLbl>
            <c:dLbl>
              <c:idx val="2"/>
              <c:tx>
                <c:rich>
                  <a:bodyPr/>
                  <a:lstStyle/>
                  <a:p>
                    <a:fld id="{06E080A9-4058-4911-B050-38E81E8B31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0C-4F86-9CDA-8C26B98E7B10}"/>
                </c:ext>
              </c:extLst>
            </c:dLbl>
            <c:dLbl>
              <c:idx val="3"/>
              <c:tx>
                <c:rich>
                  <a:bodyPr/>
                  <a:lstStyle/>
                  <a:p>
                    <a:fld id="{AC1DE6EE-7046-4DFA-8B1B-66890AE170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E0C-4F86-9CDA-8C26B98E7B10}"/>
                </c:ext>
              </c:extLst>
            </c:dLbl>
            <c:dLbl>
              <c:idx val="4"/>
              <c:tx>
                <c:rich>
                  <a:bodyPr/>
                  <a:lstStyle/>
                  <a:p>
                    <a:fld id="{32D7BA7C-FD78-4BB9-B6DA-6A073B2C3D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0C-4F86-9CDA-8C26B98E7B10}"/>
                </c:ext>
              </c:extLst>
            </c:dLbl>
            <c:dLbl>
              <c:idx val="5"/>
              <c:tx>
                <c:rich>
                  <a:bodyPr/>
                  <a:lstStyle/>
                  <a:p>
                    <a:fld id="{D8D9972B-A303-4723-A7D4-1415D7AE74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0C-4F86-9CDA-8C26B98E7B10}"/>
                </c:ext>
              </c:extLst>
            </c:dLbl>
            <c:dLbl>
              <c:idx val="6"/>
              <c:tx>
                <c:rich>
                  <a:bodyPr/>
                  <a:lstStyle/>
                  <a:p>
                    <a:fld id="{3652E46B-CB90-44CD-BB49-2756E8AA92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0C-4F86-9CDA-8C26B98E7B10}"/>
                </c:ext>
              </c:extLst>
            </c:dLbl>
            <c:dLbl>
              <c:idx val="7"/>
              <c:tx>
                <c:rich>
                  <a:bodyPr/>
                  <a:lstStyle/>
                  <a:p>
                    <a:fld id="{950CA266-AA3F-4F0B-9571-D41C03E572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0C-4F86-9CDA-8C26B98E7B10}"/>
                </c:ext>
              </c:extLst>
            </c:dLbl>
            <c:dLbl>
              <c:idx val="8"/>
              <c:tx>
                <c:rich>
                  <a:bodyPr/>
                  <a:lstStyle/>
                  <a:p>
                    <a:fld id="{147270AB-1C9A-4B17-A36F-6022A95D04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0C-4F86-9CDA-8C26B98E7B10}"/>
                </c:ext>
              </c:extLst>
            </c:dLbl>
            <c:dLbl>
              <c:idx val="9"/>
              <c:tx>
                <c:rich>
                  <a:bodyPr/>
                  <a:lstStyle/>
                  <a:p>
                    <a:fld id="{532AA1F4-FB04-4B7D-9D57-E9788C86FB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0C-4F86-9CDA-8C26B98E7B10}"/>
                </c:ext>
              </c:extLst>
            </c:dLbl>
            <c:dLbl>
              <c:idx val="10"/>
              <c:tx>
                <c:rich>
                  <a:bodyPr/>
                  <a:lstStyle/>
                  <a:p>
                    <a:fld id="{8F90D11D-263E-44E4-9CB2-358C25DD31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0C-4F86-9CDA-8C26B98E7B10}"/>
                </c:ext>
              </c:extLst>
            </c:dLbl>
            <c:dLbl>
              <c:idx val="11"/>
              <c:tx>
                <c:rich>
                  <a:bodyPr/>
                  <a:lstStyle/>
                  <a:p>
                    <a:fld id="{4D758002-24CB-459E-9895-0179095BE9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0C-4F86-9CDA-8C26B98E7B10}"/>
                </c:ext>
              </c:extLst>
            </c:dLbl>
            <c:dLbl>
              <c:idx val="12"/>
              <c:tx>
                <c:rich>
                  <a:bodyPr/>
                  <a:lstStyle/>
                  <a:p>
                    <a:fld id="{09A02294-7C0B-446D-BBD7-85E90CF05B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0C-4F86-9CDA-8C26B98E7B10}"/>
                </c:ext>
              </c:extLst>
            </c:dLbl>
            <c:dLbl>
              <c:idx val="13"/>
              <c:tx>
                <c:rich>
                  <a:bodyPr/>
                  <a:lstStyle/>
                  <a:p>
                    <a:fld id="{D0F49F93-D55D-49F0-B15F-1939F12BE4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0C-4F86-9CDA-8C26B98E7B10}"/>
                </c:ext>
              </c:extLst>
            </c:dLbl>
            <c:dLbl>
              <c:idx val="14"/>
              <c:layout>
                <c:manualLayout>
                  <c:x val="2.3447824954601518E-2"/>
                  <c:y val="-1.8186739146311675E-2"/>
                </c:manualLayout>
              </c:layout>
              <c:tx>
                <c:rich>
                  <a:bodyPr/>
                  <a:lstStyle/>
                  <a:p>
                    <a:fld id="{A7148303-C41F-494A-A5FE-B0AAC5EB11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7E0C-4F86-9CDA-8C26B98E7B10}"/>
                </c:ext>
              </c:extLst>
            </c:dLbl>
            <c:dLbl>
              <c:idx val="15"/>
              <c:tx>
                <c:rich>
                  <a:bodyPr/>
                  <a:lstStyle/>
                  <a:p>
                    <a:fld id="{D46D4D09-73A6-484E-ADEB-2479671A6D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E0C-4F86-9CDA-8C26B98E7B10}"/>
                </c:ext>
              </c:extLst>
            </c:dLbl>
            <c:dLbl>
              <c:idx val="16"/>
              <c:layout>
                <c:manualLayout>
                  <c:x val="-2.491331401426428E-2"/>
                  <c:y val="1.8186739146311602E-2"/>
                </c:manualLayout>
              </c:layout>
              <c:tx>
                <c:rich>
                  <a:bodyPr/>
                  <a:lstStyle/>
                  <a:p>
                    <a:fld id="{69680088-B6C2-4316-892C-6F467C71AF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E0C-4F86-9CDA-8C26B98E7B10}"/>
                </c:ext>
              </c:extLst>
            </c:dLbl>
            <c:dLbl>
              <c:idx val="17"/>
              <c:tx>
                <c:rich>
                  <a:bodyPr/>
                  <a:lstStyle/>
                  <a:p>
                    <a:fld id="{66E89310-3F90-4844-8C72-9BFA54E480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E0C-4F86-9CDA-8C26B98E7B10}"/>
                </c:ext>
              </c:extLst>
            </c:dLbl>
            <c:dLbl>
              <c:idx val="18"/>
              <c:tx>
                <c:rich>
                  <a:bodyPr/>
                  <a:lstStyle/>
                  <a:p>
                    <a:fld id="{2373B4FD-A8DB-41A9-84A3-48E257CAF8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E0C-4F86-9CDA-8C26B98E7B10}"/>
                </c:ext>
              </c:extLst>
            </c:dLbl>
            <c:dLbl>
              <c:idx val="19"/>
              <c:layout>
                <c:manualLayout>
                  <c:x val="6.4481518625154319E-2"/>
                  <c:y val="-1.0103743970173112E-2"/>
                </c:manualLayout>
              </c:layout>
              <c:tx>
                <c:rich>
                  <a:bodyPr/>
                  <a:lstStyle/>
                  <a:p>
                    <a:fld id="{6BF34D53-FA17-4585-AC34-9FF7B4CD2B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7E0C-4F86-9CDA-8C26B98E7B10}"/>
                </c:ext>
              </c:extLst>
            </c:dLbl>
            <c:dLbl>
              <c:idx val="20"/>
              <c:layout>
                <c:manualLayout>
                  <c:x val="-5.8619562386503933E-2"/>
                  <c:y val="-2.2228236734380881E-2"/>
                </c:manualLayout>
              </c:layout>
              <c:tx>
                <c:rich>
                  <a:bodyPr/>
                  <a:lstStyle/>
                  <a:p>
                    <a:fld id="{2B89BEDF-AD17-4226-9CAD-FD1C9A3BD8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7E0C-4F86-9CDA-8C26B98E7B10}"/>
                </c:ext>
              </c:extLst>
            </c:dLbl>
            <c:dLbl>
              <c:idx val="21"/>
              <c:tx>
                <c:rich>
                  <a:bodyPr/>
                  <a:lstStyle/>
                  <a:p>
                    <a:fld id="{23C99E42-00E0-4BF0-9BAF-972E3B8E00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E0C-4F86-9CDA-8C26B98E7B10}"/>
                </c:ext>
              </c:extLst>
            </c:dLbl>
            <c:dLbl>
              <c:idx val="22"/>
              <c:tx>
                <c:rich>
                  <a:bodyPr/>
                  <a:lstStyle/>
                  <a:p>
                    <a:fld id="{642626A9-51BF-4FFF-8C0B-FB460B8123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E0C-4F86-9CDA-8C26B98E7B10}"/>
                </c:ext>
              </c:extLst>
            </c:dLbl>
            <c:dLbl>
              <c:idx val="23"/>
              <c:tx>
                <c:rich>
                  <a:bodyPr/>
                  <a:lstStyle/>
                  <a:p>
                    <a:fld id="{B46E7149-0905-48BA-ADA9-DB86920D8E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E0C-4F86-9CDA-8C26B98E7B10}"/>
                </c:ext>
              </c:extLst>
            </c:dLbl>
            <c:dLbl>
              <c:idx val="24"/>
              <c:tx>
                <c:rich>
                  <a:bodyPr/>
                  <a:lstStyle/>
                  <a:p>
                    <a:fld id="{5D1B2F49-3CE5-40D6-AE94-3DDC6C593E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E0C-4F86-9CDA-8C26B98E7B10}"/>
                </c:ext>
              </c:extLst>
            </c:dLbl>
            <c:dLbl>
              <c:idx val="25"/>
              <c:layout>
                <c:manualLayout>
                  <c:x val="-1.4654890596626519E-3"/>
                  <c:y val="2.0207487940346148E-2"/>
                </c:manualLayout>
              </c:layout>
              <c:tx>
                <c:rich>
                  <a:bodyPr/>
                  <a:lstStyle/>
                  <a:p>
                    <a:fld id="{AF1D5CB5-DC25-4131-9D8B-100FA0A304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E0C-4F86-9CDA-8C26B98E7B10}"/>
                </c:ext>
              </c:extLst>
            </c:dLbl>
            <c:dLbl>
              <c:idx val="26"/>
              <c:layout>
                <c:manualLayout>
                  <c:x val="8.7929343579755889E-3"/>
                  <c:y val="-2.6269734322450163E-2"/>
                </c:manualLayout>
              </c:layout>
              <c:tx>
                <c:rich>
                  <a:bodyPr/>
                  <a:lstStyle/>
                  <a:p>
                    <a:fld id="{ECE5DBD0-88CE-4890-8773-E25A09C66A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7E0C-4F86-9CDA-8C26B98E7B10}"/>
                </c:ext>
              </c:extLst>
            </c:dLbl>
            <c:dLbl>
              <c:idx val="27"/>
              <c:tx>
                <c:rich>
                  <a:bodyPr/>
                  <a:lstStyle/>
                  <a:p>
                    <a:fld id="{BFF2EE65-794C-4759-B5B3-09CF8E9035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E0C-4F86-9CDA-8C26B98E7B10}"/>
                </c:ext>
              </c:extLst>
            </c:dLbl>
            <c:dLbl>
              <c:idx val="28"/>
              <c:tx>
                <c:rich>
                  <a:bodyPr/>
                  <a:lstStyle/>
                  <a:p>
                    <a:fld id="{04E003D1-8CD1-4589-970F-D7DB72BF59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E0C-4F86-9CDA-8C26B98E7B10}"/>
                </c:ext>
              </c:extLst>
            </c:dLbl>
            <c:dLbl>
              <c:idx val="29"/>
              <c:tx>
                <c:rich>
                  <a:bodyPr/>
                  <a:lstStyle/>
                  <a:p>
                    <a:fld id="{E19AB66F-58E0-43E0-9D2A-EA51744E5B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E0C-4F86-9CDA-8C26B98E7B10}"/>
                </c:ext>
              </c:extLst>
            </c:dLbl>
            <c:dLbl>
              <c:idx val="30"/>
              <c:tx>
                <c:rich>
                  <a:bodyPr/>
                  <a:lstStyle/>
                  <a:p>
                    <a:fld id="{2E3BEF36-E339-4103-B686-03A0CEC8EF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E0C-4F86-9CDA-8C26B98E7B10}"/>
                </c:ext>
              </c:extLst>
            </c:dLbl>
            <c:dLbl>
              <c:idx val="31"/>
              <c:tx>
                <c:rich>
                  <a:bodyPr/>
                  <a:lstStyle/>
                  <a:p>
                    <a:fld id="{EB354CA1-EA68-418A-8CC0-459DBB9874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E0C-4F86-9CDA-8C26B98E7B10}"/>
                </c:ext>
              </c:extLst>
            </c:dLbl>
            <c:dLbl>
              <c:idx val="32"/>
              <c:tx>
                <c:rich>
                  <a:bodyPr/>
                  <a:lstStyle/>
                  <a:p>
                    <a:fld id="{D9961945-B4F9-470C-A99D-FF4E8A6834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E0C-4F86-9CDA-8C26B98E7B10}"/>
                </c:ext>
              </c:extLst>
            </c:dLbl>
            <c:dLbl>
              <c:idx val="33"/>
              <c:tx>
                <c:rich>
                  <a:bodyPr/>
                  <a:lstStyle/>
                  <a:p>
                    <a:fld id="{E9BB82BB-42A4-4C25-8BC8-5B3D7BD409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E0C-4F86-9CDA-8C26B98E7B10}"/>
                </c:ext>
              </c:extLst>
            </c:dLbl>
            <c:dLbl>
              <c:idx val="34"/>
              <c:tx>
                <c:rich>
                  <a:bodyPr/>
                  <a:lstStyle/>
                  <a:p>
                    <a:fld id="{BF86BC83-E60C-4336-8C09-AE15D1B561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E0C-4F86-9CDA-8C26B98E7B10}"/>
                </c:ext>
              </c:extLst>
            </c:dLbl>
            <c:dLbl>
              <c:idx val="35"/>
              <c:tx>
                <c:rich>
                  <a:bodyPr/>
                  <a:lstStyle/>
                  <a:p>
                    <a:fld id="{8E224802-AD8A-4E30-A9F1-B352BF6C09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E0C-4F86-9CDA-8C26B98E7B10}"/>
                </c:ext>
              </c:extLst>
            </c:dLbl>
            <c:dLbl>
              <c:idx val="36"/>
              <c:tx>
                <c:rich>
                  <a:bodyPr/>
                  <a:lstStyle/>
                  <a:p>
                    <a:fld id="{96564C2F-B2AC-4731-9E9D-EB0F6410FA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E0C-4F86-9CDA-8C26B98E7B10}"/>
                </c:ext>
              </c:extLst>
            </c:dLbl>
            <c:dLbl>
              <c:idx val="37"/>
              <c:tx>
                <c:rich>
                  <a:bodyPr/>
                  <a:lstStyle/>
                  <a:p>
                    <a:fld id="{8A8B8696-A6CD-484B-8E59-2FCB93B887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E0C-4F86-9CDA-8C26B98E7B10}"/>
                </c:ext>
              </c:extLst>
            </c:dLbl>
            <c:dLbl>
              <c:idx val="38"/>
              <c:tx>
                <c:rich>
                  <a:bodyPr/>
                  <a:lstStyle/>
                  <a:p>
                    <a:fld id="{8E9CB9A3-BF66-4B72-A88C-86EE2FE256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E0C-4F86-9CDA-8C26B98E7B10}"/>
                </c:ext>
              </c:extLst>
            </c:dLbl>
            <c:dLbl>
              <c:idx val="39"/>
              <c:tx>
                <c:rich>
                  <a:bodyPr/>
                  <a:lstStyle/>
                  <a:p>
                    <a:fld id="{FDF7744A-4176-44E4-A634-589CD6510A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E0C-4F86-9CDA-8C26B98E7B10}"/>
                </c:ext>
              </c:extLst>
            </c:dLbl>
            <c:dLbl>
              <c:idx val="40"/>
              <c:tx>
                <c:rich>
                  <a:bodyPr/>
                  <a:lstStyle/>
                  <a:p>
                    <a:fld id="{38E1D051-BB08-40C2-9BE3-CD7522DDE1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7E0C-4F86-9CDA-8C26B98E7B10}"/>
                </c:ext>
              </c:extLst>
            </c:dLbl>
            <c:dLbl>
              <c:idx val="41"/>
              <c:tx>
                <c:rich>
                  <a:bodyPr/>
                  <a:lstStyle/>
                  <a:p>
                    <a:fld id="{424F7961-F7B0-444F-BE31-DCC1075095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7E0C-4F86-9CDA-8C26B98E7B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2.8970757031260726E-2"/>
                  <c:y val="0.53411381971006555"/>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800" baseline="0">
                        <a:solidFill>
                          <a:schemeClr val="accent4"/>
                        </a:solidFill>
                      </a:rPr>
                      <a:t>y = 0.1533x + 159.02</a:t>
                    </a:r>
                    <a:br>
                      <a:rPr lang="en-US" sz="1800" baseline="0">
                        <a:solidFill>
                          <a:schemeClr val="accent4"/>
                        </a:solidFill>
                      </a:rPr>
                    </a:br>
                    <a:r>
                      <a:rPr lang="en-US" sz="1800" baseline="0">
                        <a:solidFill>
                          <a:schemeClr val="accent4"/>
                        </a:solidFill>
                      </a:rPr>
                      <a:t>R² = 0.335</a:t>
                    </a:r>
                    <a:endParaRPr lang="en-US" sz="1800">
                      <a:solidFill>
                        <a:schemeClr val="accent4"/>
                      </a:solidFill>
                    </a:endParaRP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'Jan 2022 Data'!$E$3:$E$44</c:f>
              <c:numCache>
                <c:formatCode>General</c:formatCode>
                <c:ptCount val="42"/>
                <c:pt idx="0">
                  <c:v>194</c:v>
                </c:pt>
                <c:pt idx="1">
                  <c:v>184</c:v>
                </c:pt>
                <c:pt idx="2">
                  <c:v>182</c:v>
                </c:pt>
                <c:pt idx="3">
                  <c:v>182</c:v>
                </c:pt>
                <c:pt idx="4">
                  <c:v>206</c:v>
                </c:pt>
                <c:pt idx="5">
                  <c:v>158</c:v>
                </c:pt>
                <c:pt idx="6">
                  <c:v>183</c:v>
                </c:pt>
                <c:pt idx="7">
                  <c:v>172</c:v>
                </c:pt>
                <c:pt idx="8">
                  <c:v>154</c:v>
                </c:pt>
                <c:pt idx="9">
                  <c:v>165</c:v>
                </c:pt>
                <c:pt idx="10">
                  <c:v>132</c:v>
                </c:pt>
                <c:pt idx="11">
                  <c:v>175</c:v>
                </c:pt>
                <c:pt idx="12">
                  <c:v>155</c:v>
                </c:pt>
                <c:pt idx="13">
                  <c:v>145</c:v>
                </c:pt>
                <c:pt idx="14">
                  <c:v>148</c:v>
                </c:pt>
                <c:pt idx="15">
                  <c:v>138</c:v>
                </c:pt>
                <c:pt idx="16">
                  <c:v>164</c:v>
                </c:pt>
                <c:pt idx="17">
                  <c:v>140</c:v>
                </c:pt>
                <c:pt idx="18">
                  <c:v>168</c:v>
                </c:pt>
                <c:pt idx="19">
                  <c:v>168</c:v>
                </c:pt>
                <c:pt idx="20">
                  <c:v>168</c:v>
                </c:pt>
                <c:pt idx="21">
                  <c:v>167</c:v>
                </c:pt>
                <c:pt idx="22">
                  <c:v>174</c:v>
                </c:pt>
                <c:pt idx="23">
                  <c:v>200</c:v>
                </c:pt>
                <c:pt idx="24">
                  <c:v>167</c:v>
                </c:pt>
                <c:pt idx="25">
                  <c:v>141</c:v>
                </c:pt>
                <c:pt idx="26">
                  <c:v>140</c:v>
                </c:pt>
                <c:pt idx="27">
                  <c:v>162</c:v>
                </c:pt>
                <c:pt idx="28">
                  <c:v>189</c:v>
                </c:pt>
                <c:pt idx="29">
                  <c:v>130</c:v>
                </c:pt>
                <c:pt idx="30">
                  <c:v>146</c:v>
                </c:pt>
                <c:pt idx="31">
                  <c:v>174</c:v>
                </c:pt>
                <c:pt idx="32">
                  <c:v>148</c:v>
                </c:pt>
                <c:pt idx="33">
                  <c:v>152</c:v>
                </c:pt>
                <c:pt idx="34">
                  <c:v>176</c:v>
                </c:pt>
                <c:pt idx="35">
                  <c:v>159</c:v>
                </c:pt>
                <c:pt idx="36">
                  <c:v>147</c:v>
                </c:pt>
                <c:pt idx="37">
                  <c:v>134</c:v>
                </c:pt>
                <c:pt idx="38">
                  <c:v>163</c:v>
                </c:pt>
                <c:pt idx="39">
                  <c:v>134</c:v>
                </c:pt>
                <c:pt idx="40">
                  <c:v>118</c:v>
                </c:pt>
                <c:pt idx="41">
                  <c:v>117</c:v>
                </c:pt>
              </c:numCache>
            </c:numRef>
          </c:xVal>
          <c:yVal>
            <c:numRef>
              <c:f>'Jan 2022 Data'!$D$3:$D$44</c:f>
              <c:numCache>
                <c:formatCode>General</c:formatCode>
                <c:ptCount val="42"/>
                <c:pt idx="0">
                  <c:v>194</c:v>
                </c:pt>
                <c:pt idx="1">
                  <c:v>192</c:v>
                </c:pt>
                <c:pt idx="2">
                  <c:v>191</c:v>
                </c:pt>
                <c:pt idx="3">
                  <c:v>191</c:v>
                </c:pt>
                <c:pt idx="4">
                  <c:v>190</c:v>
                </c:pt>
                <c:pt idx="5">
                  <c:v>190</c:v>
                </c:pt>
                <c:pt idx="6">
                  <c:v>190</c:v>
                </c:pt>
                <c:pt idx="7">
                  <c:v>189</c:v>
                </c:pt>
                <c:pt idx="8">
                  <c:v>188</c:v>
                </c:pt>
                <c:pt idx="9">
                  <c:v>188</c:v>
                </c:pt>
                <c:pt idx="10">
                  <c:v>187</c:v>
                </c:pt>
                <c:pt idx="11">
                  <c:v>187</c:v>
                </c:pt>
                <c:pt idx="12">
                  <c:v>187</c:v>
                </c:pt>
                <c:pt idx="13">
                  <c:v>187</c:v>
                </c:pt>
                <c:pt idx="14">
                  <c:v>183</c:v>
                </c:pt>
                <c:pt idx="15">
                  <c:v>186</c:v>
                </c:pt>
                <c:pt idx="16">
                  <c:v>185</c:v>
                </c:pt>
                <c:pt idx="17">
                  <c:v>185</c:v>
                </c:pt>
                <c:pt idx="18">
                  <c:v>185</c:v>
                </c:pt>
                <c:pt idx="19">
                  <c:v>185</c:v>
                </c:pt>
                <c:pt idx="20">
                  <c:v>185</c:v>
                </c:pt>
                <c:pt idx="21">
                  <c:v>184</c:v>
                </c:pt>
                <c:pt idx="22">
                  <c:v>184</c:v>
                </c:pt>
                <c:pt idx="23">
                  <c:v>184</c:v>
                </c:pt>
                <c:pt idx="24">
                  <c:v>183</c:v>
                </c:pt>
                <c:pt idx="25">
                  <c:v>183</c:v>
                </c:pt>
                <c:pt idx="26">
                  <c:v>183</c:v>
                </c:pt>
                <c:pt idx="27">
                  <c:v>182</c:v>
                </c:pt>
                <c:pt idx="28">
                  <c:v>181</c:v>
                </c:pt>
                <c:pt idx="29">
                  <c:v>182</c:v>
                </c:pt>
                <c:pt idx="30">
                  <c:v>181</c:v>
                </c:pt>
                <c:pt idx="31">
                  <c:v>180</c:v>
                </c:pt>
                <c:pt idx="32">
                  <c:v>180</c:v>
                </c:pt>
                <c:pt idx="33">
                  <c:v>179</c:v>
                </c:pt>
                <c:pt idx="34">
                  <c:v>178</c:v>
                </c:pt>
                <c:pt idx="35">
                  <c:v>177</c:v>
                </c:pt>
                <c:pt idx="36">
                  <c:v>176</c:v>
                </c:pt>
                <c:pt idx="37">
                  <c:v>176</c:v>
                </c:pt>
                <c:pt idx="38">
                  <c:v>175</c:v>
                </c:pt>
                <c:pt idx="39">
                  <c:v>175</c:v>
                </c:pt>
                <c:pt idx="40">
                  <c:v>172</c:v>
                </c:pt>
                <c:pt idx="41">
                  <c:v>169</c:v>
                </c:pt>
              </c:numCache>
            </c:numRef>
          </c:yVal>
          <c:smooth val="0"/>
          <c:extLst>
            <c:ext xmlns:c15="http://schemas.microsoft.com/office/drawing/2012/chart" uri="{02D57815-91ED-43cb-92C2-25804820EDAC}">
              <c15:datalabelsRange>
                <c15:f>'Jan 2022 Data'!$A$3:$A$44</c15:f>
                <c15:dlblRangeCache>
                  <c:ptCount val="42"/>
                  <c:pt idx="0">
                    <c:v>Kaisei</c:v>
                  </c:pt>
                  <c:pt idx="1">
                    <c:v>Terunofuji</c:v>
                  </c:pt>
                  <c:pt idx="2">
                    <c:v>Tochinoshin</c:v>
                  </c:pt>
                  <c:pt idx="3">
                    <c:v>Oho</c:v>
                  </c:pt>
                  <c:pt idx="4">
                    <c:v>Ichinojo</c:v>
                  </c:pt>
                  <c:pt idx="5">
                    <c:v>Okinoumi</c:v>
                  </c:pt>
                  <c:pt idx="6">
                    <c:v>Aoiyama</c:v>
                  </c:pt>
                  <c:pt idx="7">
                    <c:v>Tamawashi</c:v>
                  </c:pt>
                  <c:pt idx="8">
                    <c:v>Abi</c:v>
                  </c:pt>
                  <c:pt idx="9">
                    <c:v>Kotonowaka</c:v>
                  </c:pt>
                  <c:pt idx="10">
                    <c:v>Hoshoryu</c:v>
                  </c:pt>
                  <c:pt idx="11">
                    <c:v>Takayasu</c:v>
                  </c:pt>
                  <c:pt idx="12">
                    <c:v>Myogiryu</c:v>
                  </c:pt>
                  <c:pt idx="13">
                    <c:v>Ichiyamamoto</c:v>
                  </c:pt>
                  <c:pt idx="14">
                    <c:v>Endo</c:v>
                  </c:pt>
                  <c:pt idx="15">
                    <c:v>Wakamotoharu</c:v>
                  </c:pt>
                  <c:pt idx="16">
                    <c:v>Takanosho</c:v>
                  </c:pt>
                  <c:pt idx="17">
                    <c:v>Kiribayama</c:v>
                  </c:pt>
                  <c:pt idx="18">
                    <c:v>Hokutofuji</c:v>
                  </c:pt>
                  <c:pt idx="19">
                    <c:v>Takarafuji</c:v>
                  </c:pt>
                  <c:pt idx="20">
                    <c:v>Hidenoumi</c:v>
                  </c:pt>
                  <c:pt idx="21">
                    <c:v>Akua</c:v>
                  </c:pt>
                  <c:pt idx="22">
                    <c:v>Yutakayama</c:v>
                  </c:pt>
                  <c:pt idx="23">
                    <c:v>Tsurugisho</c:v>
                  </c:pt>
                  <c:pt idx="24">
                    <c:v>Shodai</c:v>
                  </c:pt>
                  <c:pt idx="25">
                    <c:v>Chiyoshoma</c:v>
                  </c:pt>
                  <c:pt idx="26">
                    <c:v>Sadanoumi</c:v>
                  </c:pt>
                  <c:pt idx="27">
                    <c:v>Daieisho</c:v>
                  </c:pt>
                  <c:pt idx="28">
                    <c:v>Chiyotairyu</c:v>
                  </c:pt>
                  <c:pt idx="29">
                    <c:v>Wakatakakage</c:v>
                  </c:pt>
                  <c:pt idx="30">
                    <c:v>Chiyonokuni</c:v>
                  </c:pt>
                  <c:pt idx="31">
                    <c:v>Mitakeumi</c:v>
                  </c:pt>
                  <c:pt idx="32">
                    <c:v>Meisei</c:v>
                  </c:pt>
                  <c:pt idx="33">
                    <c:v>Shimanoumi</c:v>
                  </c:pt>
                  <c:pt idx="34">
                    <c:v>Chiyomaru</c:v>
                  </c:pt>
                  <c:pt idx="35">
                    <c:v>Onosho</c:v>
                  </c:pt>
                  <c:pt idx="36">
                    <c:v>Ura</c:v>
                  </c:pt>
                  <c:pt idx="37">
                    <c:v>Kotoeko</c:v>
                  </c:pt>
                  <c:pt idx="38">
                    <c:v>Takakeisho</c:v>
                  </c:pt>
                  <c:pt idx="39">
                    <c:v>Tobizaru</c:v>
                  </c:pt>
                  <c:pt idx="40">
                    <c:v>Ishiura</c:v>
                  </c:pt>
                  <c:pt idx="41">
                    <c:v>Terutsuyoshi</c:v>
                  </c:pt>
                </c15:dlblRangeCache>
              </c15:datalabelsRange>
            </c:ext>
            <c:ext xmlns:c16="http://schemas.microsoft.com/office/drawing/2014/chart" uri="{C3380CC4-5D6E-409C-BE32-E72D297353CC}">
              <c16:uniqueId val="{0000002A-7E0C-4F86-9CDA-8C26B98E7B10}"/>
            </c:ext>
          </c:extLst>
        </c:ser>
        <c:dLbls>
          <c:showLegendKey val="0"/>
          <c:showVal val="0"/>
          <c:showCatName val="0"/>
          <c:showSerName val="0"/>
          <c:showPercent val="0"/>
          <c:showBubbleSize val="0"/>
        </c:dLbls>
        <c:axId val="745971600"/>
        <c:axId val="745971928"/>
      </c:scatterChart>
      <c:valAx>
        <c:axId val="745971600"/>
        <c:scaling>
          <c:orientation val="minMax"/>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September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119183306339276E-2"/>
          <c:y val="7.4949545259717767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41272CD4-64CD-41F3-94F3-7846DF4C3E7D}"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{41272CD4-64CD-41F3-94F3-7846DF4C3E7D}</c15:txfldGUID>
                      <c15:f>'September 2022 Data'!$A$4</c15:f>
                      <c15:dlblFieldTableCache>
                        <c:ptCount val="1"/>
                        <c:pt idx="0">
                          <c:v>Terunofuji</c:v>
                        </c:pt>
                      </c15:dlblFieldTableCache>
                    </c15:dlblFTEntry>
                  </c15:dlblFieldTable>
                  <c15:showDataLabelsRange val="0"/>
                </c:ext>
                <c:ext xmlns:c16="http://schemas.microsoft.com/office/drawing/2014/chart" uri="{C3380CC4-5D6E-409C-BE32-E72D297353CC}">
                  <c16:uniqueId val="{00000035-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'September 2022 Data'!$F$4</c:f>
              <c:numCache>
                <c:formatCode>General</c:formatCode>
                <c:ptCount val="1"/>
                <c:pt idx="0">
                  <c:v>181</c:v>
                </c:pt>
              </c:numCache>
            </c:numRef>
          </c:xVal>
          <c:yVal>
            <c:numRef>
              <c:f>'September 2022 Data'!$E$4</c:f>
              <c:numCache>
                <c:formatCode>General</c:formatCode>
                <c:ptCount val="1"/>
                <c:pt idx="0">
                  <c:v>192</c:v>
                </c:pt>
              </c:numCache>
            </c:numRef>
          </c:yVal>
          <c:smooth val="0"/>
          <c:extLst>
            <c:ext xmlns:c16="http://schemas.microsoft.com/office/drawing/2014/chart" uri="{C3380CC4-5D6E-409C-BE32-E72D297353CC}">
              <c16:uniqueId val="{0000002D-A485-42A7-BF7D-0B686981A7EC}"/>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3208E7B2-C706-4D63-9574-6097F9B56B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A485-42A7-BF7D-0B686981A7EC}"/>
                </c:ext>
              </c:extLst>
            </c:dLbl>
            <c:dLbl>
              <c:idx val="1"/>
              <c:tx>
                <c:rich>
                  <a:bodyPr/>
                  <a:lstStyle/>
                  <a:p>
                    <a:fld id="{A99029CA-F10F-4211-A41C-7AE79B0609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A485-42A7-BF7D-0B686981A7EC}"/>
                </c:ext>
              </c:extLst>
            </c:dLbl>
            <c:dLbl>
              <c:idx val="2"/>
              <c:tx>
                <c:rich>
                  <a:bodyPr/>
                  <a:lstStyle/>
                  <a:p>
                    <a:fld id="{8816DB92-7CE2-4064-9D39-FB20BF4182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Data'!$F$5:$F$7</c:f>
              <c:numCache>
                <c:formatCode>General</c:formatCode>
                <c:ptCount val="3"/>
                <c:pt idx="0">
                  <c:v>163</c:v>
                </c:pt>
                <c:pt idx="1">
                  <c:v>171</c:v>
                </c:pt>
                <c:pt idx="2">
                  <c:v>162</c:v>
                </c:pt>
              </c:numCache>
            </c:numRef>
          </c:xVal>
          <c:yVal>
            <c:numRef>
              <c:f>'September 2022 Data'!$E$5:$E$7</c:f>
              <c:numCache>
                <c:formatCode>General</c:formatCode>
                <c:ptCount val="3"/>
                <c:pt idx="0">
                  <c:v>175</c:v>
                </c:pt>
                <c:pt idx="1">
                  <c:v>179</c:v>
                </c:pt>
                <c:pt idx="2">
                  <c:v>183</c:v>
                </c:pt>
              </c:numCache>
            </c:numRef>
          </c:yVal>
          <c:smooth val="0"/>
          <c:extLst>
            <c:ext xmlns:c15="http://schemas.microsoft.com/office/drawing/2012/chart" uri="{02D57815-91ED-43cb-92C2-25804820EDAC}">
              <c15:datalabelsRange>
                <c15:f>'September 2022 Data'!$A$5:$A$7</c15:f>
                <c15:dlblRangeCache>
                  <c:ptCount val="3"/>
                  <c:pt idx="0">
                    <c:v>Takakeisho</c:v>
                  </c:pt>
                  <c:pt idx="1">
                    <c:v>Mitakeumi</c:v>
                  </c:pt>
                  <c:pt idx="2">
                    <c:v>Shodai</c:v>
                  </c:pt>
                </c15:dlblRangeCache>
              </c15:datalabelsRange>
            </c:ext>
            <c:ext xmlns:c16="http://schemas.microsoft.com/office/drawing/2014/chart" uri="{C3380CC4-5D6E-409C-BE32-E72D297353CC}">
              <c16:uniqueId val="{0000002E-A485-42A7-BF7D-0B686981A7EC}"/>
            </c:ext>
          </c:extLst>
        </c:ser>
        <c:ser>
          <c:idx val="2"/>
          <c:order val="2"/>
          <c:tx>
            <c:strRef>
              <c:f>'September 2022 Data'!$C$8</c:f>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89C79077-DEC7-4842-93DF-614D109FB7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A485-42A7-BF7D-0B686981A7EC}"/>
                </c:ext>
              </c:extLst>
            </c:dLbl>
            <c:dLbl>
              <c:idx val="1"/>
              <c:layout>
                <c:manualLayout>
                  <c:x val="-0.11429114683193387"/>
                  <c:y val="-1.8165136827343633E-2"/>
                </c:manualLayout>
              </c:layout>
              <c:tx>
                <c:rich>
                  <a:bodyPr/>
                  <a:lstStyle/>
                  <a:p>
                    <a:fld id="{0FDE88C0-E137-43BB-A9B1-E6108A7DF5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A485-42A7-BF7D-0B686981A7EC}"/>
                </c:ext>
              </c:extLst>
            </c:dLbl>
            <c:dLbl>
              <c:idx val="2"/>
              <c:tx>
                <c:rich>
                  <a:bodyPr/>
                  <a:lstStyle/>
                  <a:p>
                    <a:fld id="{51E8841A-E85F-4191-85F5-3C1E202CC2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Data'!$F$8:$F$10</c:f>
              <c:numCache>
                <c:formatCode>General</c:formatCode>
                <c:ptCount val="3"/>
                <c:pt idx="0">
                  <c:v>161</c:v>
                </c:pt>
                <c:pt idx="1">
                  <c:v>132</c:v>
                </c:pt>
                <c:pt idx="2">
                  <c:v>140</c:v>
                </c:pt>
              </c:numCache>
            </c:numRef>
          </c:xVal>
          <c:yVal>
            <c:numRef>
              <c:f>'September 2022 Data'!$E$8:$E$10</c:f>
              <c:numCache>
                <c:formatCode>General</c:formatCode>
                <c:ptCount val="3"/>
                <c:pt idx="0">
                  <c:v>182</c:v>
                </c:pt>
                <c:pt idx="1">
                  <c:v>183</c:v>
                </c:pt>
                <c:pt idx="2">
                  <c:v>185</c:v>
                </c:pt>
              </c:numCache>
            </c:numRef>
          </c:yVal>
          <c:smooth val="0"/>
          <c:extLst>
            <c:ext xmlns:c15="http://schemas.microsoft.com/office/drawing/2012/chart" uri="{02D57815-91ED-43cb-92C2-25804820EDAC}">
              <c15:datalabelsRange>
                <c15:f>'September 2022 Data'!$A$8:$A$10</c15:f>
                <c15:dlblRangeCache>
                  <c:ptCount val="3"/>
                  <c:pt idx="0">
                    <c:v>Daieisho</c:v>
                  </c:pt>
                  <c:pt idx="1">
                    <c:v>Wakatakakage</c:v>
                  </c:pt>
                  <c:pt idx="2">
                    <c:v>Hoshoryu</c:v>
                  </c:pt>
                </c15:dlblRangeCache>
              </c15:datalabelsRange>
            </c:ext>
            <c:ext xmlns:c16="http://schemas.microsoft.com/office/drawing/2014/chart" uri="{C3380CC4-5D6E-409C-BE32-E72D297353CC}">
              <c16:uniqueId val="{0000002F-A485-42A7-BF7D-0B686981A7EC}"/>
            </c:ext>
          </c:extLst>
        </c:ser>
        <c:ser>
          <c:idx val="3"/>
          <c:order val="3"/>
          <c:tx>
            <c:strRef>
              <c:f>'September 2022 Data'!$C$11</c:f>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layout>
                <c:manualLayout>
                  <c:x val="-0.11575641794516378"/>
                  <c:y val="-8.0733941454860583E-3"/>
                </c:manualLayout>
              </c:layout>
              <c:tx>
                <c:rich>
                  <a:bodyPr/>
                  <a:lstStyle/>
                  <a:p>
                    <a:fld id="{EF41C89C-4352-4D6E-9847-A57A9CCB97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A485-42A7-BF7D-0B686981A7EC}"/>
                </c:ext>
              </c:extLst>
            </c:dLbl>
            <c:dLbl>
              <c:idx val="1"/>
              <c:layout>
                <c:manualLayout>
                  <c:x val="-5.2749760076277172E-2"/>
                  <c:y val="-3.027522804557272E-2"/>
                </c:manualLayout>
              </c:layout>
              <c:tx>
                <c:rich>
                  <a:bodyPr/>
                  <a:lstStyle/>
                  <a:p>
                    <a:fld id="{C335B76A-00D3-4C8A-B0FF-DE06979987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A485-42A7-BF7D-0B686981A7EC}"/>
                </c:ext>
              </c:extLst>
            </c:dLbl>
            <c:dLbl>
              <c:idx val="2"/>
              <c:tx>
                <c:rich>
                  <a:bodyPr/>
                  <a:lstStyle/>
                  <a:p>
                    <a:fld id="{16DD4A6C-2985-43CF-9CC9-3056768295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Data'!$F$11:$F$13</c:f>
              <c:numCache>
                <c:formatCode>General</c:formatCode>
                <c:ptCount val="3"/>
                <c:pt idx="0">
                  <c:v>138</c:v>
                </c:pt>
                <c:pt idx="1">
                  <c:v>151</c:v>
                </c:pt>
                <c:pt idx="2">
                  <c:v>212</c:v>
                </c:pt>
              </c:numCache>
            </c:numRef>
          </c:xVal>
          <c:yVal>
            <c:numRef>
              <c:f>'September 2022 Data'!$E$11:$E$13</c:f>
              <c:numCache>
                <c:formatCode>General</c:formatCode>
                <c:ptCount val="3"/>
                <c:pt idx="0">
                  <c:v>185</c:v>
                </c:pt>
                <c:pt idx="1">
                  <c:v>187</c:v>
                </c:pt>
                <c:pt idx="2">
                  <c:v>190</c:v>
                </c:pt>
              </c:numCache>
            </c:numRef>
          </c:yVal>
          <c:smooth val="0"/>
          <c:extLst>
            <c:ext xmlns:c15="http://schemas.microsoft.com/office/drawing/2012/chart" uri="{02D57815-91ED-43cb-92C2-25804820EDAC}">
              <c15:datalabelsRange>
                <c15:f>'September 2022 Data'!$A$11:$A$13</c15:f>
                <c15:dlblRangeCache>
                  <c:ptCount val="3"/>
                  <c:pt idx="0">
                    <c:v>Kiribayama</c:v>
                  </c:pt>
                  <c:pt idx="1">
                    <c:v>Abi</c:v>
                  </c:pt>
                  <c:pt idx="2">
                    <c:v>Ichinojo</c:v>
                  </c:pt>
                </c15:dlblRangeCache>
              </c15:datalabelsRange>
            </c:ext>
            <c:ext xmlns:c16="http://schemas.microsoft.com/office/drawing/2014/chart" uri="{C3380CC4-5D6E-409C-BE32-E72D297353CC}">
              <c16:uniqueId val="{00000030-A485-42A7-BF7D-0B686981A7EC}"/>
            </c:ext>
          </c:extLst>
        </c:ser>
        <c:ser>
          <c:idx val="4"/>
          <c:order val="4"/>
          <c:tx>
            <c:v>M01-04</c:v>
          </c:tx>
          <c:spPr>
            <a:ln w="25400" cap="rnd">
              <a:noFill/>
              <a:round/>
            </a:ln>
            <a:effectLst/>
          </c:spPr>
          <c:marker>
            <c:symbol val="circle"/>
            <c:size val="5"/>
            <c:spPr>
              <a:solidFill>
                <a:schemeClr val="accent1">
                  <a:alpha val="73000"/>
                </a:schemeClr>
              </a:solidFill>
              <a:ln w="9525">
                <a:noFill/>
              </a:ln>
              <a:effectLst/>
            </c:spPr>
          </c:marker>
          <c:xVal>
            <c:numRef>
              <c:f>'September 2022 Data'!$F$14:$F$21</c:f>
              <c:numCache>
                <c:formatCode>General</c:formatCode>
                <c:ptCount val="8"/>
                <c:pt idx="0">
                  <c:v>114</c:v>
                </c:pt>
                <c:pt idx="1">
                  <c:v>133</c:v>
                </c:pt>
                <c:pt idx="2">
                  <c:v>153</c:v>
                </c:pt>
                <c:pt idx="3">
                  <c:v>167</c:v>
                </c:pt>
                <c:pt idx="4">
                  <c:v>151</c:v>
                </c:pt>
                <c:pt idx="5">
                  <c:v>174</c:v>
                </c:pt>
                <c:pt idx="6">
                  <c:v>170</c:v>
                </c:pt>
                <c:pt idx="7">
                  <c:v>182</c:v>
                </c:pt>
              </c:numCache>
            </c:numRef>
          </c:xVal>
          <c:yVal>
            <c:numRef>
              <c:f>'September 2022 Data'!$E$14:$E$21</c:f>
              <c:numCache>
                <c:formatCode>General</c:formatCode>
                <c:ptCount val="8"/>
                <c:pt idx="0">
                  <c:v>171</c:v>
                </c:pt>
                <c:pt idx="1">
                  <c:v>174</c:v>
                </c:pt>
                <c:pt idx="2">
                  <c:v>180</c:v>
                </c:pt>
                <c:pt idx="3">
                  <c:v>189</c:v>
                </c:pt>
                <c:pt idx="4">
                  <c:v>175</c:v>
                </c:pt>
                <c:pt idx="5">
                  <c:v>189</c:v>
                </c:pt>
                <c:pt idx="6">
                  <c:v>184</c:v>
                </c:pt>
                <c:pt idx="7">
                  <c:v>186</c:v>
                </c:pt>
              </c:numCache>
            </c:numRef>
          </c:yVal>
          <c:smooth val="0"/>
          <c:extLst>
            <c:ext xmlns:c16="http://schemas.microsoft.com/office/drawing/2014/chart" uri="{C3380CC4-5D6E-409C-BE32-E72D297353CC}">
              <c16:uniqueId val="{00000031-A485-42A7-BF7D-0B686981A7EC}"/>
            </c:ext>
          </c:extLst>
        </c:ser>
        <c:ser>
          <c:idx val="5"/>
          <c:order val="5"/>
          <c:tx>
            <c:v>M05-08</c:v>
          </c:tx>
          <c:spPr>
            <a:ln w="25400" cap="rnd">
              <a:noFill/>
              <a:round/>
            </a:ln>
            <a:effectLst/>
          </c:spPr>
          <c:marker>
            <c:symbol val="circle"/>
            <c:size val="5"/>
            <c:spPr>
              <a:solidFill>
                <a:schemeClr val="accent2">
                  <a:alpha val="76000"/>
                </a:schemeClr>
              </a:solidFill>
              <a:ln w="9525">
                <a:noFill/>
              </a:ln>
              <a:effectLst/>
            </c:spPr>
          </c:marker>
          <c:xVal>
            <c:numRef>
              <c:f>'September 2022 Data'!$F$23:$F$29</c:f>
              <c:numCache>
                <c:formatCode>General</c:formatCode>
                <c:ptCount val="7"/>
                <c:pt idx="0">
                  <c:v>166</c:v>
                </c:pt>
                <c:pt idx="1">
                  <c:v>149</c:v>
                </c:pt>
                <c:pt idx="2">
                  <c:v>135</c:v>
                </c:pt>
                <c:pt idx="3">
                  <c:v>162</c:v>
                </c:pt>
                <c:pt idx="4">
                  <c:v>186</c:v>
                </c:pt>
                <c:pt idx="5">
                  <c:v>161</c:v>
                </c:pt>
                <c:pt idx="6">
                  <c:v>179</c:v>
                </c:pt>
              </c:numCache>
            </c:numRef>
          </c:xVal>
          <c:yVal>
            <c:numRef>
              <c:f>'September 2022 Data'!$E$23:$E$29</c:f>
              <c:numCache>
                <c:formatCode>General</c:formatCode>
                <c:ptCount val="7"/>
                <c:pt idx="0">
                  <c:v>186</c:v>
                </c:pt>
                <c:pt idx="1">
                  <c:v>183</c:v>
                </c:pt>
                <c:pt idx="2">
                  <c:v>186</c:v>
                </c:pt>
                <c:pt idx="3">
                  <c:v>178</c:v>
                </c:pt>
                <c:pt idx="4">
                  <c:v>190</c:v>
                </c:pt>
                <c:pt idx="5">
                  <c:v>184</c:v>
                </c:pt>
                <c:pt idx="6">
                  <c:v>192</c:v>
                </c:pt>
              </c:numCache>
            </c:numRef>
          </c:yVal>
          <c:smooth val="0"/>
          <c:extLst>
            <c:ext xmlns:c16="http://schemas.microsoft.com/office/drawing/2014/chart" uri="{C3380CC4-5D6E-409C-BE32-E72D297353CC}">
              <c16:uniqueId val="{00000032-A485-42A7-BF7D-0B686981A7EC}"/>
            </c:ext>
          </c:extLst>
        </c:ser>
        <c:ser>
          <c:idx val="6"/>
          <c:order val="6"/>
          <c:tx>
            <c:v>M09-12</c:v>
          </c:tx>
          <c:spPr>
            <a:ln w="25400" cap="rnd">
              <a:noFill/>
              <a:round/>
            </a:ln>
            <a:effectLst/>
          </c:spPr>
          <c:marker>
            <c:symbol val="circle"/>
            <c:size val="5"/>
            <c:spPr>
              <a:solidFill>
                <a:schemeClr val="accent3">
                  <a:alpha val="57000"/>
                </a:schemeClr>
              </a:solidFill>
              <a:ln w="9525">
                <a:noFill/>
              </a:ln>
              <a:effectLst/>
            </c:spPr>
          </c:marker>
          <c:xVal>
            <c:numRef>
              <c:f>'September 2022 Data'!$F$30:$F$37</c:f>
              <c:numCache>
                <c:formatCode>General</c:formatCode>
                <c:ptCount val="8"/>
                <c:pt idx="0">
                  <c:v>131</c:v>
                </c:pt>
                <c:pt idx="1">
                  <c:v>154</c:v>
                </c:pt>
                <c:pt idx="2">
                  <c:v>148</c:v>
                </c:pt>
                <c:pt idx="3">
                  <c:v>167</c:v>
                </c:pt>
                <c:pt idx="4">
                  <c:v>189</c:v>
                </c:pt>
                <c:pt idx="5">
                  <c:v>158</c:v>
                </c:pt>
                <c:pt idx="6">
                  <c:v>154</c:v>
                </c:pt>
                <c:pt idx="7">
                  <c:v>156</c:v>
                </c:pt>
              </c:numCache>
            </c:numRef>
          </c:xVal>
          <c:yVal>
            <c:numRef>
              <c:f>'September 2022 Data'!$E$30:$E$37</c:f>
              <c:numCache>
                <c:formatCode>General</c:formatCode>
                <c:ptCount val="8"/>
                <c:pt idx="0">
                  <c:v>176</c:v>
                </c:pt>
                <c:pt idx="1">
                  <c:v>189</c:v>
                </c:pt>
                <c:pt idx="2">
                  <c:v>184</c:v>
                </c:pt>
                <c:pt idx="3">
                  <c:v>184</c:v>
                </c:pt>
                <c:pt idx="4">
                  <c:v>181</c:v>
                </c:pt>
                <c:pt idx="5">
                  <c:v>189</c:v>
                </c:pt>
                <c:pt idx="6">
                  <c:v>187</c:v>
                </c:pt>
                <c:pt idx="7">
                  <c:v>189</c:v>
                </c:pt>
              </c:numCache>
            </c:numRef>
          </c:yVal>
          <c:smooth val="0"/>
          <c:extLst>
            <c:ext xmlns:c16="http://schemas.microsoft.com/office/drawing/2014/chart" uri="{C3380CC4-5D6E-409C-BE32-E72D297353CC}">
              <c16:uniqueId val="{00000033-A485-42A7-BF7D-0B686981A7EC}"/>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xVal>
            <c:numRef>
              <c:f>'September 2022 Data'!$F$38:$F$45</c:f>
              <c:numCache>
                <c:formatCode>General</c:formatCode>
                <c:ptCount val="8"/>
                <c:pt idx="0">
                  <c:v>145</c:v>
                </c:pt>
                <c:pt idx="1">
                  <c:v>176</c:v>
                </c:pt>
                <c:pt idx="2">
                  <c:v>135</c:v>
                </c:pt>
                <c:pt idx="3">
                  <c:v>181</c:v>
                </c:pt>
                <c:pt idx="4">
                  <c:v>107</c:v>
                </c:pt>
                <c:pt idx="5">
                  <c:v>200</c:v>
                </c:pt>
                <c:pt idx="6">
                  <c:v>135</c:v>
                </c:pt>
                <c:pt idx="7">
                  <c:v>197</c:v>
                </c:pt>
              </c:numCache>
            </c:numRef>
          </c:xVal>
          <c:yVal>
            <c:numRef>
              <c:f>'September 2022 Data'!$E$38:$E$45</c:f>
              <c:numCache>
                <c:formatCode>General</c:formatCode>
                <c:ptCount val="8"/>
                <c:pt idx="0">
                  <c:v>187</c:v>
                </c:pt>
                <c:pt idx="1">
                  <c:v>189</c:v>
                </c:pt>
                <c:pt idx="2">
                  <c:v>183</c:v>
                </c:pt>
                <c:pt idx="3">
                  <c:v>185</c:v>
                </c:pt>
                <c:pt idx="4">
                  <c:v>169</c:v>
                </c:pt>
                <c:pt idx="5">
                  <c:v>184</c:v>
                </c:pt>
                <c:pt idx="6">
                  <c:v>178</c:v>
                </c:pt>
                <c:pt idx="7">
                  <c:v>190</c:v>
                </c:pt>
              </c:numCache>
            </c:numRef>
          </c:yVal>
          <c:smooth val="0"/>
          <c:extLst>
            <c:ext xmlns:c16="http://schemas.microsoft.com/office/drawing/2014/chart" uri="{C3380CC4-5D6E-409C-BE32-E72D297353CC}">
              <c16:uniqueId val="{00000034-A485-42A7-BF7D-0B686981A7EC}"/>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November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7DBA5858-D1FA-4B9C-B5D6-52C6353F1C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Data'!$H$4</c:f>
              <c:numCache>
                <c:formatCode>General</c:formatCode>
                <c:ptCount val="1"/>
                <c:pt idx="0">
                  <c:v>181</c:v>
                </c:pt>
              </c:numCache>
            </c:numRef>
          </c:xVal>
          <c:yVal>
            <c:numRef>
              <c:f>'November 2022 Data'!$G$4</c:f>
              <c:numCache>
                <c:formatCode>General</c:formatCode>
                <c:ptCount val="1"/>
                <c:pt idx="0">
                  <c:v>192</c:v>
                </c:pt>
              </c:numCache>
            </c:numRef>
          </c:yVal>
          <c:smooth val="0"/>
          <c:extLst>
            <c:ext xmlns:c15="http://schemas.microsoft.com/office/drawing/2012/chart" uri="{02D57815-91ED-43cb-92C2-25804820EDAC}">
              <c15:datalabelsRange>
                <c15:f>'November 2022 Data'!$A$4</c15:f>
                <c15:dlblRangeCache>
                  <c:ptCount val="1"/>
                  <c:pt idx="0">
                    <c:v>Terunofuji</c:v>
                  </c:pt>
                </c15:dlblRangeCache>
              </c15:datalabelsRange>
            </c:ext>
            <c:ext xmlns:c16="http://schemas.microsoft.com/office/drawing/2014/chart" uri="{C3380CC4-5D6E-409C-BE32-E72D297353CC}">
              <c16:uniqueId val="{00000001-B2B1-499D-A3F4-C6E47E426E27}"/>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27A9E6F7-9BF1-4A6D-8F0D-D67FA622CE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2B1-499D-A3F4-C6E47E426E27}"/>
                </c:ext>
              </c:extLst>
            </c:dLbl>
            <c:dLbl>
              <c:idx val="1"/>
              <c:tx>
                <c:rich>
                  <a:bodyPr/>
                  <a:lstStyle/>
                  <a:p>
                    <a:fld id="{F65E7D65-4BA1-4C6B-9590-C4BE9DD89E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Data'!$H$5:$H$6</c:f>
              <c:numCache>
                <c:formatCode>General</c:formatCode>
                <c:ptCount val="2"/>
                <c:pt idx="0">
                  <c:v>163</c:v>
                </c:pt>
                <c:pt idx="1">
                  <c:v>162</c:v>
                </c:pt>
              </c:numCache>
            </c:numRef>
          </c:xVal>
          <c:yVal>
            <c:numRef>
              <c:f>'November 2022 Data'!$G$5:$G$6</c:f>
              <c:numCache>
                <c:formatCode>General</c:formatCode>
                <c:ptCount val="2"/>
                <c:pt idx="0">
                  <c:v>175</c:v>
                </c:pt>
                <c:pt idx="1">
                  <c:v>183</c:v>
                </c:pt>
              </c:numCache>
            </c:numRef>
          </c:yVal>
          <c:smooth val="0"/>
          <c:extLs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5-B2B1-499D-A3F4-C6E47E426E27}"/>
            </c:ext>
          </c:extLst>
        </c:ser>
        <c:ser>
          <c:idx val="2"/>
          <c:order val="2"/>
          <c:tx>
            <c:strRef>
              <c:f>'September 2022 Data'!$C$8</c:f>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6FBD3486-ED43-419A-AB24-D432D3E7A6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2B1-499D-A3F4-C6E47E426E27}"/>
                </c:ext>
              </c:extLst>
            </c:dLbl>
            <c:dLbl>
              <c:idx val="1"/>
              <c:layout>
                <c:manualLayout>
                  <c:x val="-5.2768396024273002E-2"/>
                  <c:y val="5.0493098905404959E-2"/>
                </c:manualLayout>
              </c:layout>
              <c:tx>
                <c:rich>
                  <a:bodyPr/>
                  <a:lstStyle/>
                  <a:p>
                    <a:fld id="{B3024409-5151-4620-B8BA-FE1CE2D7E5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2B1-499D-A3F4-C6E47E426E27}"/>
                </c:ext>
              </c:extLst>
            </c:dLbl>
            <c:dLbl>
              <c:idx val="2"/>
              <c:tx>
                <c:rich>
                  <a:bodyPr/>
                  <a:lstStyle/>
                  <a:p>
                    <a:fld id="{7C546E95-3CC8-4DF9-828D-CE58288435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Data'!$H$7:$H$9</c:f>
              <c:numCache>
                <c:formatCode>General</c:formatCode>
                <c:ptCount val="3"/>
                <c:pt idx="0">
                  <c:v>171</c:v>
                </c:pt>
                <c:pt idx="1">
                  <c:v>132</c:v>
                </c:pt>
                <c:pt idx="2">
                  <c:v>140</c:v>
                </c:pt>
              </c:numCache>
            </c:numRef>
          </c:xVal>
          <c:yVal>
            <c:numRef>
              <c:f>'November 2022 Data'!$G$7:$G$9</c:f>
              <c:numCache>
                <c:formatCode>General</c:formatCode>
                <c:ptCount val="3"/>
                <c:pt idx="0">
                  <c:v>179</c:v>
                </c:pt>
                <c:pt idx="1">
                  <c:v>183</c:v>
                </c:pt>
                <c:pt idx="2">
                  <c:v>185</c:v>
                </c:pt>
              </c:numCache>
            </c:numRef>
          </c:yVal>
          <c:smooth val="0"/>
          <c:extLst>
            <c:ext xmlns:c15="http://schemas.microsoft.com/office/drawing/2012/chart" uri="{02D57815-91ED-43cb-92C2-25804820EDAC}">
              <c15:datalabelsRange>
                <c15:f>'November 2022 Data'!$A$7:$A$9</c15:f>
                <c15:dlblRangeCache>
                  <c:ptCount val="3"/>
                  <c:pt idx="0">
                    <c:v>Mitakeumi</c:v>
                  </c:pt>
                  <c:pt idx="1">
                    <c:v>Wakatakakage</c:v>
                  </c:pt>
                  <c:pt idx="2">
                    <c:v>Hoshoryu</c:v>
                  </c:pt>
                </c15:dlblRangeCache>
              </c15:datalabelsRange>
            </c:ext>
            <c:ext xmlns:c16="http://schemas.microsoft.com/office/drawing/2014/chart" uri="{C3380CC4-5D6E-409C-BE32-E72D297353CC}">
              <c16:uniqueId val="{00000009-B2B1-499D-A3F4-C6E47E426E27}"/>
            </c:ext>
          </c:extLst>
        </c:ser>
        <c:ser>
          <c:idx val="3"/>
          <c:order val="3"/>
          <c:tx>
            <c:strRef>
              <c:f>'September 2022 Data'!$C$11</c:f>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tx>
                <c:rich>
                  <a:bodyPr/>
                  <a:lstStyle/>
                  <a:p>
                    <a:fld id="{279AFFF1-7F58-4F8F-B07F-A0CC46164E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B1-499D-A3F4-C6E47E426E27}"/>
                </c:ext>
              </c:extLst>
            </c:dLbl>
            <c:dLbl>
              <c:idx val="1"/>
              <c:layout>
                <c:manualLayout>
                  <c:x val="-0.10846836960545009"/>
                  <c:y val="-2.019644439525012E-3"/>
                </c:manualLayout>
              </c:layout>
              <c:tx>
                <c:rich>
                  <a:bodyPr/>
                  <a:lstStyle/>
                  <a:p>
                    <a:fld id="{7C9F7392-21D2-457D-9E6C-237E58026E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7.6030463938306675E-2"/>
                      <c:h val="2.8245919044374762E-2"/>
                    </c:manualLayout>
                  </c15:layout>
                  <c15:dlblFieldTable/>
                  <c15:showDataLabelsRange val="1"/>
                </c:ext>
                <c:ext xmlns:c16="http://schemas.microsoft.com/office/drawing/2014/chart" uri="{C3380CC4-5D6E-409C-BE32-E72D297353CC}">
                  <c16:uniqueId val="{0000000B-B2B1-499D-A3F4-C6E47E426E27}"/>
                </c:ext>
              </c:extLst>
            </c:dLbl>
            <c:dLbl>
              <c:idx val="2"/>
              <c:tx>
                <c:rich>
                  <a:bodyPr/>
                  <a:lstStyle/>
                  <a:p>
                    <a:fld id="{CEB5236B-E78A-4E15-990A-27BC442384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B1-499D-A3F4-C6E47E426E27}"/>
                </c:ext>
              </c:extLst>
            </c:dLbl>
            <c:dLbl>
              <c:idx val="3"/>
              <c:layout>
                <c:manualLayout>
                  <c:x val="-1.7589465341424332E-2"/>
                  <c:y val="3.2315583299459189E-2"/>
                </c:manualLayout>
              </c:layout>
              <c:tx>
                <c:rich>
                  <a:bodyPr/>
                  <a:lstStyle/>
                  <a:p>
                    <a:fld id="{2049DE90-C72D-41B2-B73F-E3D2B269DF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Data'!$H$10:$H$13</c:f>
              <c:numCache>
                <c:formatCode>General</c:formatCode>
                <c:ptCount val="4"/>
                <c:pt idx="0">
                  <c:v>161</c:v>
                </c:pt>
                <c:pt idx="1">
                  <c:v>138</c:v>
                </c:pt>
                <c:pt idx="2">
                  <c:v>133</c:v>
                </c:pt>
                <c:pt idx="3">
                  <c:v>174</c:v>
                </c:pt>
              </c:numCache>
            </c:numRef>
          </c:xVal>
          <c:yVal>
            <c:numRef>
              <c:f>'November 2022 Data'!$G$10:$G$13</c:f>
              <c:numCache>
                <c:formatCode>General</c:formatCode>
                <c:ptCount val="4"/>
                <c:pt idx="0">
                  <c:v>182</c:v>
                </c:pt>
                <c:pt idx="1">
                  <c:v>185</c:v>
                </c:pt>
                <c:pt idx="2">
                  <c:v>174</c:v>
                </c:pt>
                <c:pt idx="3">
                  <c:v>189</c:v>
                </c:pt>
              </c:numCache>
            </c:numRef>
          </c:yVal>
          <c:smooth val="0"/>
          <c:extLst>
            <c:ext xmlns:c15="http://schemas.microsoft.com/office/drawing/2012/chart" uri="{02D57815-91ED-43cb-92C2-25804820EDAC}">
              <c15:datalabelsRange>
                <c15:f>'November 2022 Data'!$A$10:$A$13</c15:f>
                <c15:dlblRangeCache>
                  <c:ptCount val="4"/>
                  <c:pt idx="0">
                    <c:v>Daieisho</c:v>
                  </c:pt>
                  <c:pt idx="1">
                    <c:v>Kiribayama</c:v>
                  </c:pt>
                  <c:pt idx="2">
                    <c:v>Tobizaru</c:v>
                  </c:pt>
                  <c:pt idx="3">
                    <c:v>Tamawashi</c:v>
                  </c:pt>
                </c15:dlblRangeCache>
              </c15:datalabelsRange>
            </c:ext>
            <c:ext xmlns:c16="http://schemas.microsoft.com/office/drawing/2014/chart" uri="{C3380CC4-5D6E-409C-BE32-E72D297353CC}">
              <c16:uniqueId val="{0000000D-B2B1-499D-A3F4-C6E47E426E27}"/>
            </c:ext>
          </c:extLst>
        </c:ser>
        <c:ser>
          <c:idx val="4"/>
          <c:order val="4"/>
          <c:tx>
            <c:v>M01-04</c:v>
          </c:tx>
          <c:spPr>
            <a:ln w="25400" cap="rnd">
              <a:noFill/>
              <a:round/>
            </a:ln>
            <a:effectLst/>
          </c:spPr>
          <c:marker>
            <c:symbol val="circle"/>
            <c:size val="5"/>
            <c:spPr>
              <a:solidFill>
                <a:schemeClr val="accent1">
                  <a:alpha val="73000"/>
                </a:schemeClr>
              </a:solidFill>
              <a:ln w="9525">
                <a:noFill/>
              </a:ln>
              <a:effectLst/>
            </c:spPr>
          </c:marker>
          <c:dLbls>
            <c:dLbl>
              <c:idx val="0"/>
              <c:layout>
                <c:manualLayout>
                  <c:x val="-2.3452620455232498E-2"/>
                  <c:y val="-3.0295859343243057E-2"/>
                </c:manualLayout>
              </c:layout>
              <c:tx>
                <c:rich>
                  <a:bodyPr/>
                  <a:lstStyle/>
                  <a:p>
                    <a:fld id="{EE3E1A1E-7BD3-4BA1-8CA8-CC8A8304CC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2B1-499D-A3F4-C6E47E426E27}"/>
                </c:ext>
              </c:extLst>
            </c:dLbl>
            <c:dLbl>
              <c:idx val="1"/>
              <c:tx>
                <c:rich>
                  <a:bodyPr/>
                  <a:lstStyle/>
                  <a:p>
                    <a:fld id="{AE04E79A-F9EC-46A3-922B-64B46DA02A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B1-499D-A3F4-C6E47E426E27}"/>
                </c:ext>
              </c:extLst>
            </c:dLbl>
            <c:dLbl>
              <c:idx val="2"/>
              <c:tx>
                <c:rich>
                  <a:bodyPr/>
                  <a:lstStyle/>
                  <a:p>
                    <a:fld id="{7D8163D6-8D02-47B6-8344-275C36189E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B1-499D-A3F4-C6E47E426E27}"/>
                </c:ext>
              </c:extLst>
            </c:dLbl>
            <c:dLbl>
              <c:idx val="3"/>
              <c:tx>
                <c:rich>
                  <a:bodyPr/>
                  <a:lstStyle/>
                  <a:p>
                    <a:fld id="{AD0AF5BB-3C03-40A9-B20A-CB509E4A34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B1-499D-A3F4-C6E47E426E27}"/>
                </c:ext>
              </c:extLst>
            </c:dLbl>
            <c:dLbl>
              <c:idx val="4"/>
              <c:tx>
                <c:rich>
                  <a:bodyPr/>
                  <a:lstStyle/>
                  <a:p>
                    <a:fld id="{82EAB03E-F51D-487A-9007-A349AEADAA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2B1-499D-A3F4-C6E47E426E27}"/>
                </c:ext>
              </c:extLst>
            </c:dLbl>
            <c:dLbl>
              <c:idx val="5"/>
              <c:tx>
                <c:rich>
                  <a:bodyPr/>
                  <a:lstStyle/>
                  <a:p>
                    <a:fld id="{2D4C6524-F9E8-4217-96EC-8976924F50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2B1-499D-A3F4-C6E47E426E27}"/>
                </c:ext>
              </c:extLst>
            </c:dLbl>
            <c:dLbl>
              <c:idx val="6"/>
              <c:tx>
                <c:rich>
                  <a:bodyPr/>
                  <a:lstStyle/>
                  <a:p>
                    <a:fld id="{86789D9D-FA45-4C37-8C43-7CD60C68D0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2B1-499D-A3F4-C6E47E426E27}"/>
                </c:ext>
              </c:extLst>
            </c:dLbl>
            <c:dLbl>
              <c:idx val="7"/>
              <c:tx>
                <c:rich>
                  <a:bodyPr/>
                  <a:lstStyle/>
                  <a:p>
                    <a:fld id="{280341B8-32D5-41E1-AE4A-FC872851D9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Data'!$H$14:$H$21</c:f>
              <c:numCache>
                <c:formatCode>General</c:formatCode>
                <c:ptCount val="8"/>
                <c:pt idx="0">
                  <c:v>167</c:v>
                </c:pt>
                <c:pt idx="1">
                  <c:v>182</c:v>
                </c:pt>
                <c:pt idx="2">
                  <c:v>212</c:v>
                </c:pt>
                <c:pt idx="3">
                  <c:v>153</c:v>
                </c:pt>
                <c:pt idx="4">
                  <c:v>114</c:v>
                </c:pt>
                <c:pt idx="5">
                  <c:v>151</c:v>
                </c:pt>
                <c:pt idx="6">
                  <c:v>141</c:v>
                </c:pt>
                <c:pt idx="7">
                  <c:v>135</c:v>
                </c:pt>
              </c:numCache>
            </c:numRef>
          </c:xVal>
          <c:yVal>
            <c:numRef>
              <c:f>'November 2022 Data'!$G$14:$G$21</c:f>
              <c:numCache>
                <c:formatCode>General</c:formatCode>
                <c:ptCount val="8"/>
                <c:pt idx="0">
                  <c:v>189</c:v>
                </c:pt>
                <c:pt idx="1">
                  <c:v>186</c:v>
                </c:pt>
                <c:pt idx="2">
                  <c:v>190</c:v>
                </c:pt>
                <c:pt idx="3">
                  <c:v>180</c:v>
                </c:pt>
                <c:pt idx="4">
                  <c:v>171</c:v>
                </c:pt>
                <c:pt idx="5">
                  <c:v>175</c:v>
                </c:pt>
                <c:pt idx="6">
                  <c:v>182</c:v>
                </c:pt>
                <c:pt idx="7">
                  <c:v>186</c:v>
                </c:pt>
              </c:numCache>
            </c:numRef>
          </c:yVal>
          <c:smooth val="0"/>
          <c:extLst>
            <c:ext xmlns:c15="http://schemas.microsoft.com/office/drawing/2012/chart" uri="{02D57815-91ED-43cb-92C2-25804820EDAC}">
              <c15:datalabelsRange>
                <c15:f>'November 2022 Data'!$A$14:$A$21</c15:f>
                <c15:dlblRangeCache>
                  <c:ptCount val="8"/>
                  <c:pt idx="0">
                    <c:v>Kotonowaka</c:v>
                  </c:pt>
                  <c:pt idx="1">
                    <c:v>Takayasu</c:v>
                  </c:pt>
                  <c:pt idx="2">
                    <c:v>Ichinojo</c:v>
                  </c:pt>
                  <c:pt idx="3">
                    <c:v>Meisei</c:v>
                  </c:pt>
                  <c:pt idx="4">
                    <c:v>Midorifuji</c:v>
                  </c:pt>
                  <c:pt idx="5">
                    <c:v>Ura</c:v>
                  </c:pt>
                  <c:pt idx="6">
                    <c:v>Sadanoumi</c:v>
                  </c:pt>
                  <c:pt idx="7">
                    <c:v>Wakamotoharu</c:v>
                  </c:pt>
                </c15:dlblRangeCache>
              </c15:datalabelsRange>
            </c:ext>
            <c:ext xmlns:c16="http://schemas.microsoft.com/office/drawing/2014/chart" uri="{C3380CC4-5D6E-409C-BE32-E72D297353CC}">
              <c16:uniqueId val="{0000000E-B2B1-499D-A3F4-C6E47E426E27}"/>
            </c:ext>
          </c:extLst>
        </c:ser>
        <c:ser>
          <c:idx val="5"/>
          <c:order val="5"/>
          <c:tx>
            <c:v>M05-08</c:v>
          </c:tx>
          <c:spPr>
            <a:ln w="25400" cap="rnd">
              <a:noFill/>
              <a:round/>
            </a:ln>
            <a:effectLst/>
          </c:spPr>
          <c:marker>
            <c:symbol val="circle"/>
            <c:size val="5"/>
            <c:spPr>
              <a:solidFill>
                <a:schemeClr val="accent2">
                  <a:alpha val="76000"/>
                </a:schemeClr>
              </a:solidFill>
              <a:ln w="9525">
                <a:noFill/>
              </a:ln>
              <a:effectLst/>
            </c:spPr>
          </c:marker>
          <c:dLbls>
            <c:dLbl>
              <c:idx val="0"/>
              <c:layout>
                <c:manualLayout>
                  <c:x val="-2.7849986790588529E-2"/>
                  <c:y val="-2.8276135387026894E-2"/>
                </c:manualLayout>
              </c:layout>
              <c:tx>
                <c:rich>
                  <a:bodyPr/>
                  <a:lstStyle/>
                  <a:p>
                    <a:fld id="{8021B9C6-8143-4EE9-B266-6F344B6087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B2B1-499D-A3F4-C6E47E426E27}"/>
                </c:ext>
              </c:extLst>
            </c:dLbl>
            <c:dLbl>
              <c:idx val="1"/>
              <c:tx>
                <c:rich>
                  <a:bodyPr/>
                  <a:lstStyle/>
                  <a:p>
                    <a:fld id="{6D28FE24-8B77-4065-AD25-AD281A3BDB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2B1-499D-A3F4-C6E47E426E27}"/>
                </c:ext>
              </c:extLst>
            </c:dLbl>
            <c:dLbl>
              <c:idx val="2"/>
              <c:layout>
                <c:manualLayout>
                  <c:x val="1.7589465341424332E-2"/>
                  <c:y val="4.443392703675636E-2"/>
                </c:manualLayout>
              </c:layout>
              <c:tx>
                <c:rich>
                  <a:bodyPr/>
                  <a:lstStyle/>
                  <a:p>
                    <a:fld id="{B8018920-5BCB-480C-A993-D2E8A52401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B2B1-499D-A3F4-C6E47E426E27}"/>
                </c:ext>
              </c:extLst>
            </c:dLbl>
            <c:dLbl>
              <c:idx val="3"/>
              <c:layout>
                <c:manualLayout>
                  <c:x val="1.4657887784519741E-3"/>
                  <c:y val="1.6157791649729612E-2"/>
                </c:manualLayout>
              </c:layout>
              <c:tx>
                <c:rich>
                  <a:bodyPr/>
                  <a:lstStyle/>
                  <a:p>
                    <a:fld id="{4393F615-BABA-4228-A132-3CB402C4D7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B2B1-499D-A3F4-C6E47E426E27}"/>
                </c:ext>
              </c:extLst>
            </c:dLbl>
            <c:dLbl>
              <c:idx val="4"/>
              <c:tx>
                <c:rich>
                  <a:bodyPr/>
                  <a:lstStyle/>
                  <a:p>
                    <a:fld id="{CF97FD1B-D95A-477B-86BC-6D264F04E5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2B1-499D-A3F4-C6E47E426E27}"/>
                </c:ext>
              </c:extLst>
            </c:dLbl>
            <c:dLbl>
              <c:idx val="5"/>
              <c:layout>
                <c:manualLayout>
                  <c:x val="-8.2084171593313604E-2"/>
                  <c:y val="0"/>
                </c:manualLayout>
              </c:layout>
              <c:tx>
                <c:rich>
                  <a:bodyPr/>
                  <a:lstStyle/>
                  <a:p>
                    <a:fld id="{704C511E-6F05-419A-8E62-D60D8233CB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B2B1-499D-A3F4-C6E47E426E27}"/>
                </c:ext>
              </c:extLst>
            </c:dLbl>
            <c:dLbl>
              <c:idx val="6"/>
              <c:tx>
                <c:rich>
                  <a:bodyPr/>
                  <a:lstStyle/>
                  <a:p>
                    <a:fld id="{2F64C72D-037D-4673-B552-405D607EC9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B2B1-499D-A3F4-C6E47E426E27}"/>
                </c:ext>
              </c:extLst>
            </c:dLbl>
            <c:dLbl>
              <c:idx val="7"/>
              <c:layout>
                <c:manualLayout>
                  <c:x val="-4.1042085796656885E-2"/>
                  <c:y val="-4.0394479124324048E-2"/>
                </c:manualLayout>
              </c:layout>
              <c:tx>
                <c:rich>
                  <a:bodyPr/>
                  <a:lstStyle/>
                  <a:p>
                    <a:fld id="{5D9FA068-068E-4B20-8053-791A6C1080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Data'!$H$22:$H$29</c:f>
              <c:numCache>
                <c:formatCode>General</c:formatCode>
                <c:ptCount val="8"/>
                <c:pt idx="0">
                  <c:v>161</c:v>
                </c:pt>
                <c:pt idx="1">
                  <c:v>148</c:v>
                </c:pt>
                <c:pt idx="2">
                  <c:v>170</c:v>
                </c:pt>
                <c:pt idx="3">
                  <c:v>154</c:v>
                </c:pt>
                <c:pt idx="4">
                  <c:v>149</c:v>
                </c:pt>
                <c:pt idx="5">
                  <c:v>154</c:v>
                </c:pt>
                <c:pt idx="6">
                  <c:v>166</c:v>
                </c:pt>
                <c:pt idx="7">
                  <c:v>179</c:v>
                </c:pt>
              </c:numCache>
            </c:numRef>
          </c:xVal>
          <c:yVal>
            <c:numRef>
              <c:f>'November 2022 Data'!$G$22:$G$29</c:f>
              <c:numCache>
                <c:formatCode>General</c:formatCode>
                <c:ptCount val="8"/>
                <c:pt idx="0">
                  <c:v>184</c:v>
                </c:pt>
                <c:pt idx="1">
                  <c:v>184</c:v>
                </c:pt>
                <c:pt idx="2">
                  <c:v>184</c:v>
                </c:pt>
                <c:pt idx="3">
                  <c:v>187</c:v>
                </c:pt>
                <c:pt idx="4">
                  <c:v>183</c:v>
                </c:pt>
                <c:pt idx="5">
                  <c:v>189</c:v>
                </c:pt>
                <c:pt idx="6">
                  <c:v>186</c:v>
                </c:pt>
                <c:pt idx="7">
                  <c:v>192</c:v>
                </c:pt>
              </c:numCache>
            </c:numRef>
          </c:yVal>
          <c:smooth val="0"/>
          <c:extLst>
            <c:ext xmlns:c15="http://schemas.microsoft.com/office/drawing/2012/chart" uri="{02D57815-91ED-43cb-92C2-25804820EDAC}">
              <c15:datalabelsRange>
                <c15:f>'November 2022 Data'!$A$22:$A$29</c15:f>
                <c15:dlblRangeCache>
                  <c:ptCount val="8"/>
                  <c:pt idx="0">
                    <c:v>Hokutofuji</c:v>
                  </c:pt>
                  <c:pt idx="1">
                    <c:v>Nishikifuji</c:v>
                  </c:pt>
                  <c:pt idx="2">
                    <c:v>Nishikigi</c:v>
                  </c:pt>
                  <c:pt idx="3">
                    <c:v>Ryuden</c:v>
                  </c:pt>
                  <c:pt idx="4">
                    <c:v>Endo</c:v>
                  </c:pt>
                  <c:pt idx="5">
                    <c:v>Myogiryu</c:v>
                  </c:pt>
                  <c:pt idx="6">
                    <c:v>Takarafuji</c:v>
                  </c:pt>
                  <c:pt idx="7">
                    <c:v>Tochinoshin</c:v>
                  </c:pt>
                </c15:dlblRangeCache>
              </c15:datalabelsRange>
            </c:ext>
            <c:ext xmlns:c16="http://schemas.microsoft.com/office/drawing/2014/chart" uri="{C3380CC4-5D6E-409C-BE32-E72D297353CC}">
              <c16:uniqueId val="{0000000F-B2B1-499D-A3F4-C6E47E426E27}"/>
            </c:ext>
          </c:extLst>
        </c:ser>
        <c:ser>
          <c:idx val="6"/>
          <c:order val="6"/>
          <c:tx>
            <c:v>M09-12</c:v>
          </c:tx>
          <c:spPr>
            <a:ln w="25400" cap="rnd">
              <a:noFill/>
              <a:round/>
            </a:ln>
            <a:effectLst/>
          </c:spPr>
          <c:marker>
            <c:symbol val="circle"/>
            <c:size val="5"/>
            <c:spPr>
              <a:solidFill>
                <a:schemeClr val="accent3">
                  <a:alpha val="57000"/>
                </a:schemeClr>
              </a:solidFill>
              <a:ln w="9525">
                <a:noFill/>
              </a:ln>
              <a:effectLst/>
            </c:spPr>
          </c:marker>
          <c:dLbls>
            <c:dLbl>
              <c:idx val="0"/>
              <c:layout>
                <c:manualLayout>
                  <c:x val="-1.3192099006068304E-2"/>
                  <c:y val="3.2315583299459223E-2"/>
                </c:manualLayout>
              </c:layout>
              <c:tx>
                <c:rich>
                  <a:bodyPr/>
                  <a:lstStyle/>
                  <a:p>
                    <a:fld id="{EA4B5E9D-45EC-4970-904C-0B096A7B98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B2B1-499D-A3F4-C6E47E426E27}"/>
                </c:ext>
              </c:extLst>
            </c:dLbl>
            <c:dLbl>
              <c:idx val="1"/>
              <c:layout>
                <c:manualLayout>
                  <c:x val="-5.3744967676788177E-17"/>
                  <c:y val="-2.6256411430810693E-2"/>
                </c:manualLayout>
              </c:layout>
              <c:tx>
                <c:rich>
                  <a:bodyPr/>
                  <a:lstStyle/>
                  <a:p>
                    <a:fld id="{E5E7A1E5-A6B9-4DD4-930E-4AC1EC8DBB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B2B1-499D-A3F4-C6E47E426E27}"/>
                </c:ext>
              </c:extLst>
            </c:dLbl>
            <c:dLbl>
              <c:idx val="2"/>
              <c:tx>
                <c:rich>
                  <a:bodyPr/>
                  <a:lstStyle/>
                  <a:p>
                    <a:fld id="{3E47C3E0-420F-4B3D-B223-4EEC8AE9EA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2B1-499D-A3F4-C6E47E426E27}"/>
                </c:ext>
              </c:extLst>
            </c:dLbl>
            <c:dLbl>
              <c:idx val="3"/>
              <c:tx>
                <c:rich>
                  <a:bodyPr/>
                  <a:lstStyle/>
                  <a:p>
                    <a:fld id="{ADBBB4A7-10E6-4EDC-84B2-756905BF52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2B1-499D-A3F4-C6E47E426E27}"/>
                </c:ext>
              </c:extLst>
            </c:dLbl>
            <c:dLbl>
              <c:idx val="4"/>
              <c:tx>
                <c:rich>
                  <a:bodyPr/>
                  <a:lstStyle/>
                  <a:p>
                    <a:fld id="{F98761D8-273F-4ADF-989A-C1E1853022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2B1-499D-A3F4-C6E47E426E27}"/>
                </c:ext>
              </c:extLst>
            </c:dLbl>
            <c:dLbl>
              <c:idx val="5"/>
              <c:layout>
                <c:manualLayout>
                  <c:x val="-1.1726310227616277E-2"/>
                  <c:y val="3.0295859343243022E-2"/>
                </c:manualLayout>
              </c:layout>
              <c:tx>
                <c:rich>
                  <a:bodyPr/>
                  <a:lstStyle/>
                  <a:p>
                    <a:fld id="{FA5F8368-1E0F-4AE4-9A8E-189B2EE649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B2B1-499D-A3F4-C6E47E426E27}"/>
                </c:ext>
              </c:extLst>
            </c:dLbl>
            <c:dLbl>
              <c:idx val="6"/>
              <c:tx>
                <c:rich>
                  <a:bodyPr/>
                  <a:lstStyle/>
                  <a:p>
                    <a:fld id="{2F3CF3C2-7D5B-41D4-8574-175F8A012E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2B1-499D-A3F4-C6E47E426E27}"/>
                </c:ext>
              </c:extLst>
            </c:dLbl>
            <c:dLbl>
              <c:idx val="7"/>
              <c:tx>
                <c:rich>
                  <a:bodyPr/>
                  <a:lstStyle/>
                  <a:p>
                    <a:fld id="{B1525FF6-1618-4C9D-B53E-84610F4AD2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Data'!$H$30:$H$37</c:f>
              <c:numCache>
                <c:formatCode>General</c:formatCode>
                <c:ptCount val="8"/>
                <c:pt idx="0">
                  <c:v>151</c:v>
                </c:pt>
                <c:pt idx="1">
                  <c:v>167</c:v>
                </c:pt>
                <c:pt idx="2">
                  <c:v>186</c:v>
                </c:pt>
                <c:pt idx="3">
                  <c:v>135</c:v>
                </c:pt>
                <c:pt idx="4">
                  <c:v>162</c:v>
                </c:pt>
                <c:pt idx="5">
                  <c:v>158</c:v>
                </c:pt>
                <c:pt idx="6">
                  <c:v>131</c:v>
                </c:pt>
                <c:pt idx="7">
                  <c:v>189</c:v>
                </c:pt>
              </c:numCache>
            </c:numRef>
          </c:xVal>
          <c:yVal>
            <c:numRef>
              <c:f>'November 2022 Data'!$G$30:$G$37</c:f>
              <c:numCache>
                <c:formatCode>General</c:formatCode>
                <c:ptCount val="8"/>
                <c:pt idx="0">
                  <c:v>187</c:v>
                </c:pt>
                <c:pt idx="1">
                  <c:v>184</c:v>
                </c:pt>
                <c:pt idx="2">
                  <c:v>190</c:v>
                </c:pt>
                <c:pt idx="3">
                  <c:v>183</c:v>
                </c:pt>
                <c:pt idx="4">
                  <c:v>178</c:v>
                </c:pt>
                <c:pt idx="5">
                  <c:v>189</c:v>
                </c:pt>
                <c:pt idx="6">
                  <c:v>176</c:v>
                </c:pt>
                <c:pt idx="7">
                  <c:v>181</c:v>
                </c:pt>
              </c:numCache>
            </c:numRef>
          </c:yVal>
          <c:smooth val="0"/>
          <c:extLst>
            <c:ext xmlns:c15="http://schemas.microsoft.com/office/drawing/2012/chart" uri="{02D57815-91ED-43cb-92C2-25804820EDAC}">
              <c15:datalabelsRange>
                <c15:f>'November 2022 Data'!$A$30:$A$37</c15:f>
                <c15:dlblRangeCache>
                  <c:ptCount val="8"/>
                  <c:pt idx="0">
                    <c:v>Abi</c:v>
                  </c:pt>
                  <c:pt idx="1">
                    <c:v>Takanosho</c:v>
                  </c:pt>
                  <c:pt idx="2">
                    <c:v>Aoiyama</c:v>
                  </c:pt>
                  <c:pt idx="3">
                    <c:v>Chiyoshoma</c:v>
                  </c:pt>
                  <c:pt idx="4">
                    <c:v>Onosho</c:v>
                  </c:pt>
                  <c:pt idx="5">
                    <c:v>Kotoshoho</c:v>
                  </c:pt>
                  <c:pt idx="6">
                    <c:v>Kotoeko</c:v>
                  </c:pt>
                  <c:pt idx="7">
                    <c:v>Chiyotairyu</c:v>
                  </c:pt>
                </c15:dlblRangeCache>
              </c15:datalabelsRange>
            </c:ext>
            <c:ext xmlns:c16="http://schemas.microsoft.com/office/drawing/2014/chart" uri="{C3380CC4-5D6E-409C-BE32-E72D297353CC}">
              <c16:uniqueId val="{00000010-B2B1-499D-A3F4-C6E47E426E27}"/>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dLbls>
            <c:dLbl>
              <c:idx val="0"/>
              <c:layout>
                <c:manualLayout>
                  <c:x val="-3.0781564347492636E-2"/>
                  <c:y val="-3.0295859343243057E-2"/>
                </c:manualLayout>
              </c:layout>
              <c:tx>
                <c:rich>
                  <a:bodyPr/>
                  <a:lstStyle/>
                  <a:p>
                    <a:fld id="{4B333670-B919-4CDB-9CE8-235189286F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B2B1-499D-A3F4-C6E47E426E27}"/>
                </c:ext>
              </c:extLst>
            </c:dLbl>
            <c:dLbl>
              <c:idx val="1"/>
              <c:layout>
                <c:manualLayout>
                  <c:x val="-5.8631551138081115E-3"/>
                  <c:y val="-3.4335307255675428E-2"/>
                </c:manualLayout>
              </c:layout>
              <c:tx>
                <c:rich>
                  <a:bodyPr/>
                  <a:lstStyle/>
                  <a:p>
                    <a:fld id="{E9235DDB-FA8A-4AF7-AD3C-1361A11E49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B2B1-499D-A3F4-C6E47E426E27}"/>
                </c:ext>
              </c:extLst>
            </c:dLbl>
            <c:dLbl>
              <c:idx val="2"/>
              <c:layout>
                <c:manualLayout>
                  <c:x val="-4.5439452132012913E-2"/>
                  <c:y val="-2.4236687474594454E-2"/>
                </c:manualLayout>
              </c:layout>
              <c:tx>
                <c:rich>
                  <a:bodyPr/>
                  <a:lstStyle/>
                  <a:p>
                    <a:fld id="{36236F51-0F3C-499B-A8CC-0A902FC505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B2B1-499D-A3F4-C6E47E426E27}"/>
                </c:ext>
              </c:extLst>
            </c:dLbl>
            <c:dLbl>
              <c:idx val="3"/>
              <c:tx>
                <c:rich>
                  <a:bodyPr/>
                  <a:lstStyle/>
                  <a:p>
                    <a:fld id="{E40BC1E0-2CF3-40D1-92E8-CEBFF1C2DE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2B1-499D-A3F4-C6E47E426E27}"/>
                </c:ext>
              </c:extLst>
            </c:dLbl>
            <c:dLbl>
              <c:idx val="4"/>
              <c:tx>
                <c:rich>
                  <a:bodyPr/>
                  <a:lstStyle/>
                  <a:p>
                    <a:fld id="{EF59B4E4-6885-4209-A743-D235EBD9DB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2B1-499D-A3F4-C6E47E426E27}"/>
                </c:ext>
              </c:extLst>
            </c:dLbl>
            <c:dLbl>
              <c:idx val="5"/>
              <c:tx>
                <c:rich>
                  <a:bodyPr/>
                  <a:lstStyle/>
                  <a:p>
                    <a:fld id="{D55F0DD7-394B-4900-AFD1-D04DC1224D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2B1-499D-A3F4-C6E47E426E27}"/>
                </c:ext>
              </c:extLst>
            </c:dLbl>
            <c:dLbl>
              <c:idx val="6"/>
              <c:tx>
                <c:rich>
                  <a:bodyPr/>
                  <a:lstStyle/>
                  <a:p>
                    <a:fld id="{30F65766-892A-44F4-AFC6-845DB4D5DA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2B1-499D-A3F4-C6E47E426E27}"/>
                </c:ext>
              </c:extLst>
            </c:dLbl>
            <c:dLbl>
              <c:idx val="7"/>
              <c:tx>
                <c:rich>
                  <a:bodyPr/>
                  <a:lstStyle/>
                  <a:p>
                    <a:fld id="{57649496-388C-4D95-B771-6F0EE14922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Data'!$H$38:$H$45</c:f>
              <c:numCache>
                <c:formatCode>General</c:formatCode>
                <c:ptCount val="8"/>
                <c:pt idx="0">
                  <c:v>156</c:v>
                </c:pt>
                <c:pt idx="1">
                  <c:v>176</c:v>
                </c:pt>
                <c:pt idx="2">
                  <c:v>145</c:v>
                </c:pt>
                <c:pt idx="3">
                  <c:v>157</c:v>
                </c:pt>
                <c:pt idx="4">
                  <c:v>155</c:v>
                </c:pt>
                <c:pt idx="5">
                  <c:v>177</c:v>
                </c:pt>
                <c:pt idx="6">
                  <c:v>107</c:v>
                </c:pt>
                <c:pt idx="7">
                  <c:v>135</c:v>
                </c:pt>
              </c:numCache>
            </c:numRef>
          </c:xVal>
          <c:yVal>
            <c:numRef>
              <c:f>'November 2022 Data'!$G$38:$G$45</c:f>
              <c:numCache>
                <c:formatCode>General</c:formatCode>
                <c:ptCount val="8"/>
                <c:pt idx="0">
                  <c:v>189</c:v>
                </c:pt>
                <c:pt idx="1">
                  <c:v>189</c:v>
                </c:pt>
                <c:pt idx="2">
                  <c:v>187</c:v>
                </c:pt>
                <c:pt idx="3">
                  <c:v>191</c:v>
                </c:pt>
                <c:pt idx="4">
                  <c:v>193</c:v>
                </c:pt>
                <c:pt idx="5">
                  <c:v>185</c:v>
                </c:pt>
                <c:pt idx="6">
                  <c:v>169</c:v>
                </c:pt>
                <c:pt idx="7">
                  <c:v>178</c:v>
                </c:pt>
              </c:numCache>
            </c:numRef>
          </c:yVal>
          <c:smooth val="0"/>
          <c:extLst>
            <c:ext xmlns:c15="http://schemas.microsoft.com/office/drawing/2012/chart" uri="{02D57815-91ED-43cb-92C2-25804820EDAC}">
              <c15:datalabelsRange>
                <c15:f>'November 2022 Data'!$A$38:$A$45</c15:f>
                <c15:dlblRangeCache>
                  <c:ptCount val="8"/>
                  <c:pt idx="0">
                    <c:v>Okinoumi</c:v>
                  </c:pt>
                  <c:pt idx="1">
                    <c:v>Oho</c:v>
                  </c:pt>
                  <c:pt idx="2">
                    <c:v>Ichiyamamoto</c:v>
                  </c:pt>
                  <c:pt idx="3">
                    <c:v>Azumaryu</c:v>
                  </c:pt>
                  <c:pt idx="4">
                    <c:v>Kagayaki</c:v>
                  </c:pt>
                  <c:pt idx="5">
                    <c:v>Atamifuji</c:v>
                  </c:pt>
                  <c:pt idx="6">
                    <c:v>Terutsuyoshi</c:v>
                  </c:pt>
                  <c:pt idx="7">
                    <c:v>Hiradoumi</c:v>
                  </c:pt>
                </c15:dlblRangeCache>
              </c15:datalabelsRange>
            </c:ext>
            <c:ext xmlns:c16="http://schemas.microsoft.com/office/drawing/2014/chart" uri="{C3380CC4-5D6E-409C-BE32-E72D297353CC}">
              <c16:uniqueId val="{00000011-B2B1-499D-A3F4-C6E47E426E27}"/>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November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6"/>
          <c:order val="6"/>
          <c:tx>
            <c:v>M09-12</c:v>
          </c:tx>
          <c:spPr>
            <a:ln w="25400" cap="rnd">
              <a:noFill/>
              <a:round/>
            </a:ln>
            <a:effectLst/>
          </c:spPr>
          <c:marker>
            <c:symbol val="circle"/>
            <c:size val="5"/>
            <c:spPr>
              <a:solidFill>
                <a:schemeClr val="accent3">
                  <a:alpha val="57000"/>
                </a:schemeClr>
              </a:solidFill>
              <a:ln w="9525">
                <a:noFill/>
              </a:ln>
              <a:effectLst/>
            </c:spPr>
          </c:marker>
          <c:dLbls>
            <c:dLbl>
              <c:idx val="0"/>
              <c:layout>
                <c:manualLayout>
                  <c:x val="-1.3192099006068304E-2"/>
                  <c:y val="3.2315583299459223E-2"/>
                </c:manualLayout>
              </c:layout>
              <c:tx>
                <c:rich>
                  <a:bodyPr/>
                  <a:lstStyle/>
                  <a:p>
                    <a:fld id="{6F740EDD-C1C8-4898-9453-6EF4328A9F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BC40-409B-8FF6-7A42A2E83035}"/>
                </c:ext>
              </c:extLst>
            </c:dLbl>
            <c:dLbl>
              <c:idx val="1"/>
              <c:layout>
                <c:manualLayout>
                  <c:x val="-5.3744967676788177E-17"/>
                  <c:y val="-2.6256411430810693E-2"/>
                </c:manualLayout>
              </c:layout>
              <c:tx>
                <c:rich>
                  <a:bodyPr/>
                  <a:lstStyle/>
                  <a:p>
                    <a:fld id="{C451711D-85DB-4FE6-8C68-75181673E3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BC40-409B-8FF6-7A42A2E83035}"/>
                </c:ext>
              </c:extLst>
            </c:dLbl>
            <c:dLbl>
              <c:idx val="2"/>
              <c:tx>
                <c:rich>
                  <a:bodyPr/>
                  <a:lstStyle/>
                  <a:p>
                    <a:fld id="{4D09313A-A330-49DA-9EC3-C4EAA48DA7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C40-409B-8FF6-7A42A2E83035}"/>
                </c:ext>
              </c:extLst>
            </c:dLbl>
            <c:dLbl>
              <c:idx val="3"/>
              <c:tx>
                <c:rich>
                  <a:bodyPr/>
                  <a:lstStyle/>
                  <a:p>
                    <a:fld id="{C396C95D-36F5-4C10-BDAE-41FE5175E8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C40-409B-8FF6-7A42A2E83035}"/>
                </c:ext>
              </c:extLst>
            </c:dLbl>
            <c:dLbl>
              <c:idx val="4"/>
              <c:tx>
                <c:rich>
                  <a:bodyPr/>
                  <a:lstStyle/>
                  <a:p>
                    <a:fld id="{7CBB9450-36EB-421C-9FE7-9E45526630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C40-409B-8FF6-7A42A2E83035}"/>
                </c:ext>
              </c:extLst>
            </c:dLbl>
            <c:dLbl>
              <c:idx val="5"/>
              <c:layout>
                <c:manualLayout>
                  <c:x val="-1.1726310227616277E-2"/>
                  <c:y val="3.0295859343243022E-2"/>
                </c:manualLayout>
              </c:layout>
              <c:tx>
                <c:rich>
                  <a:bodyPr/>
                  <a:lstStyle/>
                  <a:p>
                    <a:fld id="{E3D3D826-AC07-4369-8BC3-04B56FB87D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BC40-409B-8FF6-7A42A2E83035}"/>
                </c:ext>
              </c:extLst>
            </c:dLbl>
            <c:dLbl>
              <c:idx val="6"/>
              <c:tx>
                <c:rich>
                  <a:bodyPr/>
                  <a:lstStyle/>
                  <a:p>
                    <a:fld id="{BB1D6297-B126-4520-838C-2AA02C5590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C40-409B-8FF6-7A42A2E83035}"/>
                </c:ext>
              </c:extLst>
            </c:dLbl>
            <c:dLbl>
              <c:idx val="7"/>
              <c:tx>
                <c:rich>
                  <a:bodyPr/>
                  <a:lstStyle/>
                  <a:p>
                    <a:fld id="{82416CF8-88FD-45E9-9B50-556E05E7F5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Data'!$H$30:$H$37</c:f>
              <c:numCache>
                <c:formatCode>General</c:formatCode>
                <c:ptCount val="8"/>
                <c:pt idx="0">
                  <c:v>151</c:v>
                </c:pt>
                <c:pt idx="1">
                  <c:v>167</c:v>
                </c:pt>
                <c:pt idx="2">
                  <c:v>186</c:v>
                </c:pt>
                <c:pt idx="3">
                  <c:v>135</c:v>
                </c:pt>
                <c:pt idx="4">
                  <c:v>162</c:v>
                </c:pt>
                <c:pt idx="5">
                  <c:v>158</c:v>
                </c:pt>
                <c:pt idx="6">
                  <c:v>131</c:v>
                </c:pt>
                <c:pt idx="7">
                  <c:v>189</c:v>
                </c:pt>
              </c:numCache>
            </c:numRef>
          </c:xVal>
          <c:yVal>
            <c:numRef>
              <c:f>'November 2022 Data'!$G$30:$G$37</c:f>
              <c:numCache>
                <c:formatCode>General</c:formatCode>
                <c:ptCount val="8"/>
                <c:pt idx="0">
                  <c:v>187</c:v>
                </c:pt>
                <c:pt idx="1">
                  <c:v>184</c:v>
                </c:pt>
                <c:pt idx="2">
                  <c:v>190</c:v>
                </c:pt>
                <c:pt idx="3">
                  <c:v>183</c:v>
                </c:pt>
                <c:pt idx="4">
                  <c:v>178</c:v>
                </c:pt>
                <c:pt idx="5">
                  <c:v>189</c:v>
                </c:pt>
                <c:pt idx="6">
                  <c:v>176</c:v>
                </c:pt>
                <c:pt idx="7">
                  <c:v>181</c:v>
                </c:pt>
              </c:numCache>
            </c:numRef>
          </c:yVal>
          <c:smooth val="0"/>
          <c:extLst>
            <c:ext xmlns:c15="http://schemas.microsoft.com/office/drawing/2012/chart" uri="{02D57815-91ED-43cb-92C2-25804820EDAC}">
              <c15:datalabelsRange>
                <c15:f>'November 2022 Data'!$A$30:$A$37</c15:f>
                <c15:dlblRangeCache>
                  <c:ptCount val="8"/>
                  <c:pt idx="0">
                    <c:v>Abi</c:v>
                  </c:pt>
                  <c:pt idx="1">
                    <c:v>Takanosho</c:v>
                  </c:pt>
                  <c:pt idx="2">
                    <c:v>Aoiyama</c:v>
                  </c:pt>
                  <c:pt idx="3">
                    <c:v>Chiyoshoma</c:v>
                  </c:pt>
                  <c:pt idx="4">
                    <c:v>Onosho</c:v>
                  </c:pt>
                  <c:pt idx="5">
                    <c:v>Kotoshoho</c:v>
                  </c:pt>
                  <c:pt idx="6">
                    <c:v>Kotoeko</c:v>
                  </c:pt>
                  <c:pt idx="7">
                    <c:v>Chiyotairyu</c:v>
                  </c:pt>
                </c15:dlblRangeCache>
              </c15:datalabelsRange>
            </c:ext>
            <c:ext xmlns:c16="http://schemas.microsoft.com/office/drawing/2014/chart" uri="{C3380CC4-5D6E-409C-BE32-E72D297353CC}">
              <c16:uniqueId val="{00000028-BC40-409B-8FF6-7A42A2E83035}"/>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dLbls>
            <c:dLbl>
              <c:idx val="0"/>
              <c:layout>
                <c:manualLayout>
                  <c:x val="-3.0781564347492636E-2"/>
                  <c:y val="-3.0295859343243057E-2"/>
                </c:manualLayout>
              </c:layout>
              <c:tx>
                <c:rich>
                  <a:bodyPr/>
                  <a:lstStyle/>
                  <a:p>
                    <a:fld id="{1F2174E2-7FC9-4DD4-B923-0FC14EACC3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BC40-409B-8FF6-7A42A2E83035}"/>
                </c:ext>
              </c:extLst>
            </c:dLbl>
            <c:dLbl>
              <c:idx val="1"/>
              <c:layout>
                <c:manualLayout>
                  <c:x val="-5.8631551138081115E-3"/>
                  <c:y val="-3.4335307255675428E-2"/>
                </c:manualLayout>
              </c:layout>
              <c:tx>
                <c:rich>
                  <a:bodyPr/>
                  <a:lstStyle/>
                  <a:p>
                    <a:fld id="{E0987EC1-E7BC-4254-949F-A88B3F6B32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C40-409B-8FF6-7A42A2E83035}"/>
                </c:ext>
              </c:extLst>
            </c:dLbl>
            <c:dLbl>
              <c:idx val="2"/>
              <c:layout>
                <c:manualLayout>
                  <c:x val="-4.5439452132012913E-2"/>
                  <c:y val="-2.4236687474594454E-2"/>
                </c:manualLayout>
              </c:layout>
              <c:tx>
                <c:rich>
                  <a:bodyPr/>
                  <a:lstStyle/>
                  <a:p>
                    <a:fld id="{EDD1AEA4-5CDC-4969-95CA-6A8BFDEE6A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BC40-409B-8FF6-7A42A2E83035}"/>
                </c:ext>
              </c:extLst>
            </c:dLbl>
            <c:dLbl>
              <c:idx val="3"/>
              <c:tx>
                <c:rich>
                  <a:bodyPr/>
                  <a:lstStyle/>
                  <a:p>
                    <a:fld id="{8E88B6D3-2EA2-4F92-BA11-4A6B0A1D16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C40-409B-8FF6-7A42A2E83035}"/>
                </c:ext>
              </c:extLst>
            </c:dLbl>
            <c:dLbl>
              <c:idx val="4"/>
              <c:tx>
                <c:rich>
                  <a:bodyPr/>
                  <a:lstStyle/>
                  <a:p>
                    <a:fld id="{3EBC1986-EBAB-4A5F-BCB4-FAD9F1FAA6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C40-409B-8FF6-7A42A2E83035}"/>
                </c:ext>
              </c:extLst>
            </c:dLbl>
            <c:dLbl>
              <c:idx val="5"/>
              <c:tx>
                <c:rich>
                  <a:bodyPr/>
                  <a:lstStyle/>
                  <a:p>
                    <a:fld id="{EF756A52-3524-4C78-B447-501A26AF42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BC40-409B-8FF6-7A42A2E83035}"/>
                </c:ext>
              </c:extLst>
            </c:dLbl>
            <c:dLbl>
              <c:idx val="6"/>
              <c:tx>
                <c:rich>
                  <a:bodyPr/>
                  <a:lstStyle/>
                  <a:p>
                    <a:fld id="{C0E3FE34-2CB7-4010-9E02-FC2C20AAF5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C40-409B-8FF6-7A42A2E83035}"/>
                </c:ext>
              </c:extLst>
            </c:dLbl>
            <c:dLbl>
              <c:idx val="7"/>
              <c:tx>
                <c:rich>
                  <a:bodyPr/>
                  <a:lstStyle/>
                  <a:p>
                    <a:fld id="{147EB8E8-779D-4723-8A14-EA14F41B5B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Data'!$H$38:$H$45</c:f>
              <c:numCache>
                <c:formatCode>General</c:formatCode>
                <c:ptCount val="8"/>
                <c:pt idx="0">
                  <c:v>156</c:v>
                </c:pt>
                <c:pt idx="1">
                  <c:v>176</c:v>
                </c:pt>
                <c:pt idx="2">
                  <c:v>145</c:v>
                </c:pt>
                <c:pt idx="3">
                  <c:v>157</c:v>
                </c:pt>
                <c:pt idx="4">
                  <c:v>155</c:v>
                </c:pt>
                <c:pt idx="5">
                  <c:v>177</c:v>
                </c:pt>
                <c:pt idx="6">
                  <c:v>107</c:v>
                </c:pt>
                <c:pt idx="7">
                  <c:v>135</c:v>
                </c:pt>
              </c:numCache>
            </c:numRef>
          </c:xVal>
          <c:yVal>
            <c:numRef>
              <c:f>'November 2022 Data'!$G$38:$G$45</c:f>
              <c:numCache>
                <c:formatCode>General</c:formatCode>
                <c:ptCount val="8"/>
                <c:pt idx="0">
                  <c:v>189</c:v>
                </c:pt>
                <c:pt idx="1">
                  <c:v>189</c:v>
                </c:pt>
                <c:pt idx="2">
                  <c:v>187</c:v>
                </c:pt>
                <c:pt idx="3">
                  <c:v>191</c:v>
                </c:pt>
                <c:pt idx="4">
                  <c:v>193</c:v>
                </c:pt>
                <c:pt idx="5">
                  <c:v>185</c:v>
                </c:pt>
                <c:pt idx="6">
                  <c:v>169</c:v>
                </c:pt>
                <c:pt idx="7">
                  <c:v>178</c:v>
                </c:pt>
              </c:numCache>
            </c:numRef>
          </c:yVal>
          <c:smooth val="0"/>
          <c:extLst>
            <c:ext xmlns:c15="http://schemas.microsoft.com/office/drawing/2012/chart" uri="{02D57815-91ED-43cb-92C2-25804820EDAC}">
              <c15:datalabelsRange>
                <c15:f>'November 2022 Data'!$A$38:$A$45</c15:f>
                <c15:dlblRangeCache>
                  <c:ptCount val="8"/>
                  <c:pt idx="0">
                    <c:v>Okinoumi</c:v>
                  </c:pt>
                  <c:pt idx="1">
                    <c:v>Oho</c:v>
                  </c:pt>
                  <c:pt idx="2">
                    <c:v>Ichiyamamoto</c:v>
                  </c:pt>
                  <c:pt idx="3">
                    <c:v>Azumaryu</c:v>
                  </c:pt>
                  <c:pt idx="4">
                    <c:v>Kagayaki</c:v>
                  </c:pt>
                  <c:pt idx="5">
                    <c:v>Atamifuji</c:v>
                  </c:pt>
                  <c:pt idx="6">
                    <c:v>Terutsuyoshi</c:v>
                  </c:pt>
                  <c:pt idx="7">
                    <c:v>Hiradoumi</c:v>
                  </c:pt>
                </c15:dlblRangeCache>
              </c15:datalabelsRange>
            </c:ext>
            <c:ext xmlns:c16="http://schemas.microsoft.com/office/drawing/2014/chart" uri="{C3380CC4-5D6E-409C-BE32-E72D297353CC}">
              <c16:uniqueId val="{00000031-BC40-409B-8FF6-7A42A2E83035}"/>
            </c:ext>
          </c:extLst>
        </c:ser>
        <c:dLbls>
          <c:showLegendKey val="0"/>
          <c:showVal val="0"/>
          <c:showCatName val="0"/>
          <c:showSerName val="0"/>
          <c:showPercent val="0"/>
          <c:showBubbleSize val="0"/>
        </c:dLbls>
        <c:axId val="745971600"/>
        <c:axId val="745971928"/>
        <c:extLst>
          <c:ext xmlns:c15="http://schemas.microsoft.com/office/drawing/2012/chart" uri="{02D57815-91ED-43cb-92C2-25804820EDAC}">
            <c15:filteredScatterSeries>
              <c15:ser>
                <c:idx val="0"/>
                <c:order val="0"/>
                <c:tx>
                  <c:strRef>
                    <c:extLst>
                      <c:ext uri="{02D57815-91ED-43cb-92C2-25804820EDAC}">
                        <c15:formulaRef>
                          <c15:sqref>'September 2022 Data'!$C$4</c15:sqref>
                        </c15:formulaRef>
                      </c:ext>
                    </c:extLst>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52C6C636-E92F-4C06-B28E-3B1448FE5BFD}" type="CELLRANGE">
                            <a:rPr lang="en-US"/>
                            <a:pPr/>
                            <a:t>[CELLRANGE]</a:t>
                          </a:fld>
                          <a:endParaRPr lang="en-US"/>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0-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uri="{02D57815-91ED-43cb-92C2-25804820EDAC}">
                        <c15:formulaRef>
                          <c15:sqref>'November 2022 Data'!$H$4</c15:sqref>
                        </c15:formulaRef>
                      </c:ext>
                    </c:extLst>
                    <c:numCache>
                      <c:formatCode>General</c:formatCode>
                      <c:ptCount val="1"/>
                      <c:pt idx="0">
                        <c:v>181</c:v>
                      </c:pt>
                    </c:numCache>
                  </c:numRef>
                </c:xVal>
                <c:yVal>
                  <c:numRef>
                    <c:extLst>
                      <c:ext uri="{02D57815-91ED-43cb-92C2-25804820EDAC}">
                        <c15:formulaRef>
                          <c15:sqref>'November 2022 Data'!$G$4</c15:sqref>
                        </c15:formulaRef>
                      </c:ext>
                    </c:extLst>
                    <c:numCache>
                      <c:formatCode>General</c:formatCode>
                      <c:ptCount val="1"/>
                      <c:pt idx="0">
                        <c:v>192</c:v>
                      </c:pt>
                    </c:numCache>
                  </c:numRef>
                </c:yVal>
                <c:smooth val="0"/>
                <c:extLst>
                  <c:ext uri="{02D57815-91ED-43cb-92C2-25804820EDAC}">
                    <c15:datalabelsRange>
                      <c15:f>'November 2022 Data'!$A$4</c15:f>
                      <c15:dlblRangeCache>
                        <c:ptCount val="1"/>
                        <c:pt idx="0">
                          <c:v>Terunofuji</c:v>
                        </c:pt>
                      </c15:dlblRangeCache>
                    </c15:datalabelsRange>
                  </c:ext>
                  <c:ext xmlns:c16="http://schemas.microsoft.com/office/drawing/2014/chart" uri="{C3380CC4-5D6E-409C-BE32-E72D297353CC}">
                    <c16:uniqueId val="{00000001-BC40-409B-8FF6-7A42A2E83035}"/>
                  </c:ext>
                </c:extLst>
              </c15:ser>
            </c15:filteredScatterSeries>
            <c15:filteredScatterSeries>
              <c15:ser>
                <c:idx val="1"/>
                <c:order val="1"/>
                <c:tx>
                  <c:strRef>
                    <c:extLst xmlns:c15="http://schemas.microsoft.com/office/drawing/2012/chart">
                      <c:ext xmlns:c15="http://schemas.microsoft.com/office/drawing/2012/chart" uri="{02D57815-91ED-43cb-92C2-25804820EDAC}">
                        <c15:formulaRef>
                          <c15:sqref>'September 2022 Data'!$C$5</c15:sqref>
                        </c15:formulaRef>
                      </c:ext>
                    </c:extLst>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79DEBD18-8B9D-4810-B1BB-018239842A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C40-409B-8FF6-7A42A2E83035}"/>
                      </c:ext>
                    </c:extLst>
                  </c:dLbl>
                  <c:dLbl>
                    <c:idx val="1"/>
                    <c:tx>
                      <c:rich>
                        <a:bodyPr/>
                        <a:lstStyle/>
                        <a:p>
                          <a:fld id="{ABF56B55-FE68-4736-A9C1-35A4ED6BFC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Data'!$H$5:$H$6</c15:sqref>
                        </c15:formulaRef>
                      </c:ext>
                    </c:extLst>
                    <c:numCache>
                      <c:formatCode>General</c:formatCode>
                      <c:ptCount val="2"/>
                      <c:pt idx="0">
                        <c:v>163</c:v>
                      </c:pt>
                      <c:pt idx="1">
                        <c:v>162</c:v>
                      </c:pt>
                    </c:numCache>
                  </c:numRef>
                </c:xVal>
                <c:yVal>
                  <c:numRef>
                    <c:extLst xmlns:c15="http://schemas.microsoft.com/office/drawing/2012/chart">
                      <c:ext xmlns:c15="http://schemas.microsoft.com/office/drawing/2012/chart" uri="{02D57815-91ED-43cb-92C2-25804820EDAC}">
                        <c15:formulaRef>
                          <c15:sqref>'November 2022 Data'!$G$5:$G$6</c15:sqref>
                        </c15:formulaRef>
                      </c:ext>
                    </c:extLst>
                    <c:numCache>
                      <c:formatCode>General</c:formatCode>
                      <c:ptCount val="2"/>
                      <c:pt idx="0">
                        <c:v>175</c:v>
                      </c:pt>
                      <c:pt idx="1">
                        <c:v>183</c:v>
                      </c:pt>
                    </c:numCache>
                  </c:numRef>
                </c:yVal>
                <c:smooth val="0"/>
                <c:extLst xmlns:c15="http://schemas.microsoft.com/office/drawing/2012/char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4-BC40-409B-8FF6-7A42A2E83035}"/>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'September 2022 Data'!$C$8</c15:sqref>
                        </c15:formulaRef>
                      </c:ext>
                    </c:extLst>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46B29D41-A152-41A4-9234-37ECDFED76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C40-409B-8FF6-7A42A2E83035}"/>
                      </c:ext>
                    </c:extLst>
                  </c:dLbl>
                  <c:dLbl>
                    <c:idx val="1"/>
                    <c:layout>
                      <c:manualLayout>
                        <c:x val="-5.2768396024273002E-2"/>
                        <c:y val="5.0493098905404959E-2"/>
                      </c:manualLayout>
                    </c:layout>
                    <c:tx>
                      <c:rich>
                        <a:bodyPr/>
                        <a:lstStyle/>
                        <a:p>
                          <a:fld id="{098A7C31-164D-4E03-800E-755E0A1567F6}"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6-BC40-409B-8FF6-7A42A2E83035}"/>
                      </c:ext>
                    </c:extLst>
                  </c:dLbl>
                  <c:dLbl>
                    <c:idx val="2"/>
                    <c:tx>
                      <c:rich>
                        <a:bodyPr/>
                        <a:lstStyle/>
                        <a:p>
                          <a:fld id="{E4B390CD-4651-4344-825F-E66098DE77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Data'!$H$7:$H$9</c15:sqref>
                        </c15:formulaRef>
                      </c:ext>
                    </c:extLst>
                    <c:numCache>
                      <c:formatCode>General</c:formatCode>
                      <c:ptCount val="3"/>
                      <c:pt idx="0">
                        <c:v>171</c:v>
                      </c:pt>
                      <c:pt idx="1">
                        <c:v>132</c:v>
                      </c:pt>
                      <c:pt idx="2">
                        <c:v>140</c:v>
                      </c:pt>
                    </c:numCache>
                  </c:numRef>
                </c:xVal>
                <c:yVal>
                  <c:numRef>
                    <c:extLst xmlns:c15="http://schemas.microsoft.com/office/drawing/2012/chart">
                      <c:ext xmlns:c15="http://schemas.microsoft.com/office/drawing/2012/chart" uri="{02D57815-91ED-43cb-92C2-25804820EDAC}">
                        <c15:formulaRef>
                          <c15:sqref>'November 2022 Data'!$G$7:$G$9</c15:sqref>
                        </c15:formulaRef>
                      </c:ext>
                    </c:extLst>
                    <c:numCache>
                      <c:formatCode>General</c:formatCode>
                      <c:ptCount val="3"/>
                      <c:pt idx="0">
                        <c:v>179</c:v>
                      </c:pt>
                      <c:pt idx="1">
                        <c:v>183</c:v>
                      </c:pt>
                      <c:pt idx="2">
                        <c:v>185</c:v>
                      </c:pt>
                    </c:numCache>
                  </c:numRef>
                </c:yVal>
                <c:smooth val="0"/>
                <c:extLst xmlns:c15="http://schemas.microsoft.com/office/drawing/2012/chart">
                  <c:ext xmlns:c15="http://schemas.microsoft.com/office/drawing/2012/chart" uri="{02D57815-91ED-43cb-92C2-25804820EDAC}">
                    <c15:datalabelsRange>
                      <c15:f>'November 2022 Data'!$A$7:$A$9</c15:f>
                      <c15:dlblRangeCache>
                        <c:ptCount val="3"/>
                        <c:pt idx="0">
                          <c:v>Mitakeumi</c:v>
                        </c:pt>
                        <c:pt idx="1">
                          <c:v>Wakatakakage</c:v>
                        </c:pt>
                        <c:pt idx="2">
                          <c:v>Hoshoryu</c:v>
                        </c:pt>
                      </c15:dlblRangeCache>
                    </c15:datalabelsRange>
                  </c:ext>
                  <c:ext xmlns:c16="http://schemas.microsoft.com/office/drawing/2014/chart" uri="{C3380CC4-5D6E-409C-BE32-E72D297353CC}">
                    <c16:uniqueId val="{00000008-BC40-409B-8FF6-7A42A2E83035}"/>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'September 2022 Data'!$C$11</c15:sqref>
                        </c15:formulaRef>
                      </c:ext>
                    </c:extLst>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tx>
                      <c:rich>
                        <a:bodyPr/>
                        <a:lstStyle/>
                        <a:p>
                          <a:fld id="{D87D5E93-EBC4-420D-B31C-A887C76976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C40-409B-8FF6-7A42A2E83035}"/>
                      </c:ext>
                    </c:extLst>
                  </c:dLbl>
                  <c:dLbl>
                    <c:idx val="1"/>
                    <c:layout>
                      <c:manualLayout>
                        <c:x val="-0.10846836960545009"/>
                        <c:y val="-2.019644439525012E-3"/>
                      </c:manualLayout>
                    </c:layout>
                    <c:tx>
                      <c:rich>
                        <a:bodyPr/>
                        <a:lstStyle/>
                        <a:p>
                          <a:fld id="{4FDFB966-7BAD-4FAC-BE86-6A5A6EC6C0B9}"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layout>
                          <c:manualLayout>
                            <c:w val="7.6030463938306675E-2"/>
                            <c:h val="2.8245919044374762E-2"/>
                          </c:manualLayout>
                        </c15:layout>
                        <c15:dlblFieldTable/>
                        <c15:showDataLabelsRange val="1"/>
                      </c:ext>
                      <c:ext xmlns:c16="http://schemas.microsoft.com/office/drawing/2014/chart" uri="{C3380CC4-5D6E-409C-BE32-E72D297353CC}">
                        <c16:uniqueId val="{0000000A-BC40-409B-8FF6-7A42A2E83035}"/>
                      </c:ext>
                    </c:extLst>
                  </c:dLbl>
                  <c:dLbl>
                    <c:idx val="2"/>
                    <c:tx>
                      <c:rich>
                        <a:bodyPr/>
                        <a:lstStyle/>
                        <a:p>
                          <a:fld id="{F007E409-F5FD-4C49-8F35-2EA17917A8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C40-409B-8FF6-7A42A2E83035}"/>
                      </c:ext>
                    </c:extLst>
                  </c:dLbl>
                  <c:dLbl>
                    <c:idx val="3"/>
                    <c:layout>
                      <c:manualLayout>
                        <c:x val="-1.7589465341424332E-2"/>
                        <c:y val="3.2315583299459189E-2"/>
                      </c:manualLayout>
                    </c:layout>
                    <c:tx>
                      <c:rich>
                        <a:bodyPr/>
                        <a:lstStyle/>
                        <a:p>
                          <a:fld id="{CD2C8A84-DE2A-44CF-B073-589078406C43}"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C-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Data'!$H$10:$H$13</c15:sqref>
                        </c15:formulaRef>
                      </c:ext>
                    </c:extLst>
                    <c:numCache>
                      <c:formatCode>General</c:formatCode>
                      <c:ptCount val="4"/>
                      <c:pt idx="0">
                        <c:v>161</c:v>
                      </c:pt>
                      <c:pt idx="1">
                        <c:v>138</c:v>
                      </c:pt>
                      <c:pt idx="2">
                        <c:v>133</c:v>
                      </c:pt>
                      <c:pt idx="3">
                        <c:v>174</c:v>
                      </c:pt>
                    </c:numCache>
                  </c:numRef>
                </c:xVal>
                <c:yVal>
                  <c:numRef>
                    <c:extLst xmlns:c15="http://schemas.microsoft.com/office/drawing/2012/chart">
                      <c:ext xmlns:c15="http://schemas.microsoft.com/office/drawing/2012/chart" uri="{02D57815-91ED-43cb-92C2-25804820EDAC}">
                        <c15:formulaRef>
                          <c15:sqref>'November 2022 Data'!$G$10:$G$13</c15:sqref>
                        </c15:formulaRef>
                      </c:ext>
                    </c:extLst>
                    <c:numCache>
                      <c:formatCode>General</c:formatCode>
                      <c:ptCount val="4"/>
                      <c:pt idx="0">
                        <c:v>182</c:v>
                      </c:pt>
                      <c:pt idx="1">
                        <c:v>185</c:v>
                      </c:pt>
                      <c:pt idx="2">
                        <c:v>174</c:v>
                      </c:pt>
                      <c:pt idx="3">
                        <c:v>189</c:v>
                      </c:pt>
                    </c:numCache>
                  </c:numRef>
                </c:yVal>
                <c:smooth val="0"/>
                <c:extLst xmlns:c15="http://schemas.microsoft.com/office/drawing/2012/chart">
                  <c:ext xmlns:c15="http://schemas.microsoft.com/office/drawing/2012/chart" uri="{02D57815-91ED-43cb-92C2-25804820EDAC}">
                    <c15:datalabelsRange>
                      <c15:f>'November 2022 Data'!$A$10:$A$13</c15:f>
                      <c15:dlblRangeCache>
                        <c:ptCount val="4"/>
                        <c:pt idx="0">
                          <c:v>Daieisho</c:v>
                        </c:pt>
                        <c:pt idx="1">
                          <c:v>Kiribayama</c:v>
                        </c:pt>
                        <c:pt idx="2">
                          <c:v>Tobizaru</c:v>
                        </c:pt>
                        <c:pt idx="3">
                          <c:v>Tamawashi</c:v>
                        </c:pt>
                      </c15:dlblRangeCache>
                    </c15:datalabelsRange>
                  </c:ext>
                  <c:ext xmlns:c16="http://schemas.microsoft.com/office/drawing/2014/chart" uri="{C3380CC4-5D6E-409C-BE32-E72D297353CC}">
                    <c16:uniqueId val="{0000000D-BC40-409B-8FF6-7A42A2E83035}"/>
                  </c:ext>
                </c:extLst>
              </c15:ser>
            </c15:filteredScatterSeries>
            <c15:filteredScatterSeries>
              <c15:ser>
                <c:idx val="4"/>
                <c:order val="4"/>
                <c:tx>
                  <c:v>M01-04</c:v>
                </c:tx>
                <c:spPr>
                  <a:ln w="25400" cap="rnd">
                    <a:noFill/>
                    <a:round/>
                  </a:ln>
                  <a:effectLst/>
                </c:spPr>
                <c:marker>
                  <c:symbol val="circle"/>
                  <c:size val="5"/>
                  <c:spPr>
                    <a:solidFill>
                      <a:schemeClr val="accent1">
                        <a:alpha val="73000"/>
                      </a:schemeClr>
                    </a:solidFill>
                    <a:ln w="9525">
                      <a:noFill/>
                    </a:ln>
                    <a:effectLst/>
                  </c:spPr>
                </c:marker>
                <c:dLbls>
                  <c:dLbl>
                    <c:idx val="0"/>
                    <c:layout>
                      <c:manualLayout>
                        <c:x val="-2.3452620455232498E-2"/>
                        <c:y val="-3.0295859343243057E-2"/>
                      </c:manualLayout>
                    </c:layout>
                    <c:tx>
                      <c:rich>
                        <a:bodyPr/>
                        <a:lstStyle/>
                        <a:p>
                          <a:fld id="{12F06983-F360-4157-B85D-52CFFC22E951}"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E-BC40-409B-8FF6-7A42A2E83035}"/>
                      </c:ext>
                    </c:extLst>
                  </c:dLbl>
                  <c:dLbl>
                    <c:idx val="1"/>
                    <c:tx>
                      <c:rich>
                        <a:bodyPr/>
                        <a:lstStyle/>
                        <a:p>
                          <a:fld id="{1EB0DD66-D5FD-4332-9F6E-4CC5545CAE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C40-409B-8FF6-7A42A2E83035}"/>
                      </c:ext>
                    </c:extLst>
                  </c:dLbl>
                  <c:dLbl>
                    <c:idx val="2"/>
                    <c:tx>
                      <c:rich>
                        <a:bodyPr/>
                        <a:lstStyle/>
                        <a:p>
                          <a:fld id="{AC515341-1EBA-4D2E-9A4B-CA53B25658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C40-409B-8FF6-7A42A2E83035}"/>
                      </c:ext>
                    </c:extLst>
                  </c:dLbl>
                  <c:dLbl>
                    <c:idx val="3"/>
                    <c:tx>
                      <c:rich>
                        <a:bodyPr/>
                        <a:lstStyle/>
                        <a:p>
                          <a:fld id="{669F1F76-0BE0-4679-BA8D-8D5994DE95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C40-409B-8FF6-7A42A2E83035}"/>
                      </c:ext>
                    </c:extLst>
                  </c:dLbl>
                  <c:dLbl>
                    <c:idx val="4"/>
                    <c:tx>
                      <c:rich>
                        <a:bodyPr/>
                        <a:lstStyle/>
                        <a:p>
                          <a:fld id="{B5FCF48E-DAAF-47CF-8CD6-D8A832912B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C40-409B-8FF6-7A42A2E83035}"/>
                      </c:ext>
                    </c:extLst>
                  </c:dLbl>
                  <c:dLbl>
                    <c:idx val="5"/>
                    <c:tx>
                      <c:rich>
                        <a:bodyPr/>
                        <a:lstStyle/>
                        <a:p>
                          <a:fld id="{43437BF1-53E6-4074-9FA5-1DC2A629D4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C40-409B-8FF6-7A42A2E83035}"/>
                      </c:ext>
                    </c:extLst>
                  </c:dLbl>
                  <c:dLbl>
                    <c:idx val="6"/>
                    <c:tx>
                      <c:rich>
                        <a:bodyPr/>
                        <a:lstStyle/>
                        <a:p>
                          <a:fld id="{75FE30A2-FEDE-4920-95A5-D93F24A34D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C40-409B-8FF6-7A42A2E83035}"/>
                      </c:ext>
                    </c:extLst>
                  </c:dLbl>
                  <c:dLbl>
                    <c:idx val="7"/>
                    <c:tx>
                      <c:rich>
                        <a:bodyPr/>
                        <a:lstStyle/>
                        <a:p>
                          <a:fld id="{8A42A06A-B871-415B-B6E8-C52F27681E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Data'!$H$14:$H$21</c15:sqref>
                        </c15:formulaRef>
                      </c:ext>
                    </c:extLst>
                    <c:numCache>
                      <c:formatCode>General</c:formatCode>
                      <c:ptCount val="8"/>
                      <c:pt idx="0">
                        <c:v>167</c:v>
                      </c:pt>
                      <c:pt idx="1">
                        <c:v>182</c:v>
                      </c:pt>
                      <c:pt idx="2">
                        <c:v>212</c:v>
                      </c:pt>
                      <c:pt idx="3">
                        <c:v>153</c:v>
                      </c:pt>
                      <c:pt idx="4">
                        <c:v>114</c:v>
                      </c:pt>
                      <c:pt idx="5">
                        <c:v>151</c:v>
                      </c:pt>
                      <c:pt idx="6">
                        <c:v>141</c:v>
                      </c:pt>
                      <c:pt idx="7">
                        <c:v>135</c:v>
                      </c:pt>
                    </c:numCache>
                  </c:numRef>
                </c:xVal>
                <c:yVal>
                  <c:numRef>
                    <c:extLst xmlns:c15="http://schemas.microsoft.com/office/drawing/2012/chart">
                      <c:ext xmlns:c15="http://schemas.microsoft.com/office/drawing/2012/chart" uri="{02D57815-91ED-43cb-92C2-25804820EDAC}">
                        <c15:formulaRef>
                          <c15:sqref>'November 2022 Data'!$G$14:$G$21</c15:sqref>
                        </c15:formulaRef>
                      </c:ext>
                    </c:extLst>
                    <c:numCache>
                      <c:formatCode>General</c:formatCode>
                      <c:ptCount val="8"/>
                      <c:pt idx="0">
                        <c:v>189</c:v>
                      </c:pt>
                      <c:pt idx="1">
                        <c:v>186</c:v>
                      </c:pt>
                      <c:pt idx="2">
                        <c:v>190</c:v>
                      </c:pt>
                      <c:pt idx="3">
                        <c:v>180</c:v>
                      </c:pt>
                      <c:pt idx="4">
                        <c:v>171</c:v>
                      </c:pt>
                      <c:pt idx="5">
                        <c:v>175</c:v>
                      </c:pt>
                      <c:pt idx="6">
                        <c:v>182</c:v>
                      </c:pt>
                      <c:pt idx="7">
                        <c:v>186</c:v>
                      </c:pt>
                    </c:numCache>
                  </c:numRef>
                </c:yVal>
                <c:smooth val="0"/>
                <c:extLst xmlns:c15="http://schemas.microsoft.com/office/drawing/2012/chart">
                  <c:ext xmlns:c15="http://schemas.microsoft.com/office/drawing/2012/chart" uri="{02D57815-91ED-43cb-92C2-25804820EDAC}">
                    <c15:datalabelsRange>
                      <c15:f>'November 2022 Data'!$A$14:$A$21</c15:f>
                      <c15:dlblRangeCache>
                        <c:ptCount val="8"/>
                        <c:pt idx="0">
                          <c:v>Kotonowaka</c:v>
                        </c:pt>
                        <c:pt idx="1">
                          <c:v>Takayasu</c:v>
                        </c:pt>
                        <c:pt idx="2">
                          <c:v>Ichinojo</c:v>
                        </c:pt>
                        <c:pt idx="3">
                          <c:v>Meisei</c:v>
                        </c:pt>
                        <c:pt idx="4">
                          <c:v>Midorifuji</c:v>
                        </c:pt>
                        <c:pt idx="5">
                          <c:v>Ura</c:v>
                        </c:pt>
                        <c:pt idx="6">
                          <c:v>Sadanoumi</c:v>
                        </c:pt>
                        <c:pt idx="7">
                          <c:v>Wakamotoharu</c:v>
                        </c:pt>
                      </c15:dlblRangeCache>
                    </c15:datalabelsRange>
                  </c:ext>
                  <c:ext xmlns:c16="http://schemas.microsoft.com/office/drawing/2014/chart" uri="{C3380CC4-5D6E-409C-BE32-E72D297353CC}">
                    <c16:uniqueId val="{00000016-BC40-409B-8FF6-7A42A2E83035}"/>
                  </c:ext>
                </c:extLst>
              </c15:ser>
            </c15:filteredScatterSeries>
            <c15:filteredScatterSeries>
              <c15:ser>
                <c:idx val="5"/>
                <c:order val="5"/>
                <c:tx>
                  <c:v>M05-08</c:v>
                </c:tx>
                <c:spPr>
                  <a:ln w="25400" cap="rnd">
                    <a:noFill/>
                    <a:round/>
                  </a:ln>
                  <a:effectLst/>
                </c:spPr>
                <c:marker>
                  <c:symbol val="circle"/>
                  <c:size val="5"/>
                  <c:spPr>
                    <a:solidFill>
                      <a:schemeClr val="accent2">
                        <a:alpha val="76000"/>
                      </a:schemeClr>
                    </a:solidFill>
                    <a:ln w="9525">
                      <a:noFill/>
                    </a:ln>
                    <a:effectLst/>
                  </c:spPr>
                </c:marker>
                <c:dLbls>
                  <c:dLbl>
                    <c:idx val="0"/>
                    <c:layout>
                      <c:manualLayout>
                        <c:x val="-2.7849986790588529E-2"/>
                        <c:y val="-2.8276135387026894E-2"/>
                      </c:manualLayout>
                    </c:layout>
                    <c:tx>
                      <c:rich>
                        <a:bodyPr/>
                        <a:lstStyle/>
                        <a:p>
                          <a:fld id="{3490441F-6BC5-4618-B070-C51330FEE752}"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7-BC40-409B-8FF6-7A42A2E83035}"/>
                      </c:ext>
                    </c:extLst>
                  </c:dLbl>
                  <c:dLbl>
                    <c:idx val="1"/>
                    <c:tx>
                      <c:rich>
                        <a:bodyPr/>
                        <a:lstStyle/>
                        <a:p>
                          <a:fld id="{C280FE44-A4AD-4F44-9FD4-16F724F67F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C40-409B-8FF6-7A42A2E83035}"/>
                      </c:ext>
                    </c:extLst>
                  </c:dLbl>
                  <c:dLbl>
                    <c:idx val="2"/>
                    <c:layout>
                      <c:manualLayout>
                        <c:x val="1.7589465341424332E-2"/>
                        <c:y val="4.443392703675636E-2"/>
                      </c:manualLayout>
                    </c:layout>
                    <c:tx>
                      <c:rich>
                        <a:bodyPr/>
                        <a:lstStyle/>
                        <a:p>
                          <a:fld id="{22AEC795-AD13-4133-AC6D-D97DB4887820}"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9-BC40-409B-8FF6-7A42A2E83035}"/>
                      </c:ext>
                    </c:extLst>
                  </c:dLbl>
                  <c:dLbl>
                    <c:idx val="3"/>
                    <c:layout>
                      <c:manualLayout>
                        <c:x val="1.4657887784519741E-3"/>
                        <c:y val="1.6157791649729612E-2"/>
                      </c:manualLayout>
                    </c:layout>
                    <c:tx>
                      <c:rich>
                        <a:bodyPr/>
                        <a:lstStyle/>
                        <a:p>
                          <a:fld id="{74D65642-71CB-4A54-9526-7DEDA54157D1}"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A-BC40-409B-8FF6-7A42A2E83035}"/>
                      </c:ext>
                    </c:extLst>
                  </c:dLbl>
                  <c:dLbl>
                    <c:idx val="4"/>
                    <c:tx>
                      <c:rich>
                        <a:bodyPr/>
                        <a:lstStyle/>
                        <a:p>
                          <a:fld id="{9FAC1CF9-9925-4195-97EB-2A42027FFD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C40-409B-8FF6-7A42A2E83035}"/>
                      </c:ext>
                    </c:extLst>
                  </c:dLbl>
                  <c:dLbl>
                    <c:idx val="5"/>
                    <c:layout>
                      <c:manualLayout>
                        <c:x val="-8.2084171593313604E-2"/>
                        <c:y val="0"/>
                      </c:manualLayout>
                    </c:layout>
                    <c:tx>
                      <c:rich>
                        <a:bodyPr/>
                        <a:lstStyle/>
                        <a:p>
                          <a:fld id="{AE5E371B-7B91-4584-B6F3-98855254A7DF}"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C-BC40-409B-8FF6-7A42A2E83035}"/>
                      </c:ext>
                    </c:extLst>
                  </c:dLbl>
                  <c:dLbl>
                    <c:idx val="6"/>
                    <c:tx>
                      <c:rich>
                        <a:bodyPr/>
                        <a:lstStyle/>
                        <a:p>
                          <a:fld id="{65C30849-5860-4FA1-8D7B-2AFEEB0B84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C40-409B-8FF6-7A42A2E83035}"/>
                      </c:ext>
                    </c:extLst>
                  </c:dLbl>
                  <c:dLbl>
                    <c:idx val="7"/>
                    <c:layout>
                      <c:manualLayout>
                        <c:x val="-4.1042085796656885E-2"/>
                        <c:y val="-4.0394479124324048E-2"/>
                      </c:manualLayout>
                    </c:layout>
                    <c:tx>
                      <c:rich>
                        <a:bodyPr/>
                        <a:lstStyle/>
                        <a:p>
                          <a:fld id="{90690D2D-2609-4876-AE0C-8EAFC877D356}"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E-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Data'!$H$22:$H$29</c15:sqref>
                        </c15:formulaRef>
                      </c:ext>
                    </c:extLst>
                    <c:numCache>
                      <c:formatCode>General</c:formatCode>
                      <c:ptCount val="8"/>
                      <c:pt idx="0">
                        <c:v>161</c:v>
                      </c:pt>
                      <c:pt idx="1">
                        <c:v>148</c:v>
                      </c:pt>
                      <c:pt idx="2">
                        <c:v>170</c:v>
                      </c:pt>
                      <c:pt idx="3">
                        <c:v>154</c:v>
                      </c:pt>
                      <c:pt idx="4">
                        <c:v>149</c:v>
                      </c:pt>
                      <c:pt idx="5">
                        <c:v>154</c:v>
                      </c:pt>
                      <c:pt idx="6">
                        <c:v>166</c:v>
                      </c:pt>
                      <c:pt idx="7">
                        <c:v>179</c:v>
                      </c:pt>
                    </c:numCache>
                  </c:numRef>
                </c:xVal>
                <c:yVal>
                  <c:numRef>
                    <c:extLst xmlns:c15="http://schemas.microsoft.com/office/drawing/2012/chart">
                      <c:ext xmlns:c15="http://schemas.microsoft.com/office/drawing/2012/chart" uri="{02D57815-91ED-43cb-92C2-25804820EDAC}">
                        <c15:formulaRef>
                          <c15:sqref>'November 2022 Data'!$G$22:$G$29</c15:sqref>
                        </c15:formulaRef>
                      </c:ext>
                    </c:extLst>
                    <c:numCache>
                      <c:formatCode>General</c:formatCode>
                      <c:ptCount val="8"/>
                      <c:pt idx="0">
                        <c:v>184</c:v>
                      </c:pt>
                      <c:pt idx="1">
                        <c:v>184</c:v>
                      </c:pt>
                      <c:pt idx="2">
                        <c:v>184</c:v>
                      </c:pt>
                      <c:pt idx="3">
                        <c:v>187</c:v>
                      </c:pt>
                      <c:pt idx="4">
                        <c:v>183</c:v>
                      </c:pt>
                      <c:pt idx="5">
                        <c:v>189</c:v>
                      </c:pt>
                      <c:pt idx="6">
                        <c:v>186</c:v>
                      </c:pt>
                      <c:pt idx="7">
                        <c:v>192</c:v>
                      </c:pt>
                    </c:numCache>
                  </c:numRef>
                </c:yVal>
                <c:smooth val="0"/>
                <c:extLst xmlns:c15="http://schemas.microsoft.com/office/drawing/2012/chart">
                  <c:ext xmlns:c15="http://schemas.microsoft.com/office/drawing/2012/chart" uri="{02D57815-91ED-43cb-92C2-25804820EDAC}">
                    <c15:datalabelsRange>
                      <c15:f>'November 2022 Data'!$A$22:$A$29</c15:f>
                      <c15:dlblRangeCache>
                        <c:ptCount val="8"/>
                        <c:pt idx="0">
                          <c:v>Hokutofuji</c:v>
                        </c:pt>
                        <c:pt idx="1">
                          <c:v>Nishikifuji</c:v>
                        </c:pt>
                        <c:pt idx="2">
                          <c:v>Nishikigi</c:v>
                        </c:pt>
                        <c:pt idx="3">
                          <c:v>Ryuden</c:v>
                        </c:pt>
                        <c:pt idx="4">
                          <c:v>Endo</c:v>
                        </c:pt>
                        <c:pt idx="5">
                          <c:v>Myogiryu</c:v>
                        </c:pt>
                        <c:pt idx="6">
                          <c:v>Takarafuji</c:v>
                        </c:pt>
                        <c:pt idx="7">
                          <c:v>Tochinoshin</c:v>
                        </c:pt>
                      </c15:dlblRangeCache>
                    </c15:datalabelsRange>
                  </c:ext>
                  <c:ext xmlns:c16="http://schemas.microsoft.com/office/drawing/2014/chart" uri="{C3380CC4-5D6E-409C-BE32-E72D297353CC}">
                    <c16:uniqueId val="{0000001F-BC40-409B-8FF6-7A42A2E83035}"/>
                  </c:ext>
                </c:extLst>
              </c15:ser>
            </c15:filteredScatterSeries>
          </c:ext>
        </c:extLst>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min val="17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January 2023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9.8258472786883502E-2"/>
                  <c:y val="-1.6202531645569639E-2"/>
                </c:manualLayout>
              </c:layout>
              <c:tx>
                <c:rich>
                  <a:bodyPr/>
                  <a:lstStyle/>
                  <a:p>
                    <a:fld id="{846F5A08-0B01-4AFF-A473-7961848CC9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Data'!$H$4</c:f>
              <c:numCache>
                <c:formatCode>General</c:formatCode>
                <c:ptCount val="1"/>
                <c:pt idx="0">
                  <c:v>181</c:v>
                </c:pt>
              </c:numCache>
            </c:numRef>
          </c:xVal>
          <c:yVal>
            <c:numRef>
              <c:f>'January 2023 Data'!$H$4</c:f>
              <c:numCache>
                <c:formatCode>General</c:formatCode>
                <c:ptCount val="1"/>
                <c:pt idx="0">
                  <c:v>192</c:v>
                </c:pt>
              </c:numCache>
            </c:numRef>
          </c:yVal>
          <c:smooth val="0"/>
          <c:extLst>
            <c:ext xmlns:c15="http://schemas.microsoft.com/office/drawing/2012/chart" uri="{02D57815-91ED-43cb-92C2-25804820EDAC}">
              <c15:datalabelsRange>
                <c15:f>'January 2023 Data'!$A$4</c15:f>
                <c15:dlblRangeCache>
                  <c:ptCount val="1"/>
                  <c:pt idx="0">
                    <c:v>Terunofuji</c:v>
                  </c:pt>
                </c15:dlblRangeCache>
              </c15:datalabelsRange>
            </c:ext>
            <c:ext xmlns:c16="http://schemas.microsoft.com/office/drawing/2014/chart" uri="{C3380CC4-5D6E-409C-BE32-E72D297353CC}">
              <c16:uniqueId val="{00000001-4ACB-455E-9A96-A98653FFCF61}"/>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1098DCB4-3350-49D4-BE69-986B4BCECC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Data'!$I$5</c:f>
              <c:numCache>
                <c:formatCode>General</c:formatCode>
                <c:ptCount val="1"/>
                <c:pt idx="0">
                  <c:v>165</c:v>
                </c:pt>
              </c:numCache>
            </c:numRef>
          </c:xVal>
          <c:yVal>
            <c:numRef>
              <c:f>'January 2023 Data'!$H$5</c:f>
              <c:numCache>
                <c:formatCode>General</c:formatCode>
                <c:ptCount val="1"/>
                <c:pt idx="0">
                  <c:v>175</c:v>
                </c:pt>
              </c:numCache>
            </c:numRef>
          </c:yVal>
          <c:smooth val="0"/>
          <c:extLs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3-4ACB-455E-9A96-A98653FFCF61}"/>
            </c:ext>
          </c:extLst>
        </c:ser>
        <c:ser>
          <c:idx val="2"/>
          <c:order val="2"/>
          <c:tx>
            <c:strRef>
              <c:f>'September 2022 Data'!$C$8</c:f>
              <c:strCache>
                <c:ptCount val="1"/>
                <c:pt idx="0">
                  <c:v>Sekiwake</c:v>
                </c:pt>
              </c:strCache>
            </c:strRef>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tx>
                <c:rich>
                  <a:bodyPr/>
                  <a:lstStyle/>
                  <a:p>
                    <a:fld id="{71A8EBEE-022E-4F00-A5A3-199126E70B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ACB-455E-9A96-A98653FFCF61}"/>
                </c:ext>
              </c:extLst>
            </c:dLbl>
            <c:dLbl>
              <c:idx val="1"/>
              <c:layout>
                <c:manualLayout>
                  <c:x val="-0.12465627144604627"/>
                  <c:y val="4.0506329113924053E-3"/>
                </c:manualLayout>
              </c:layout>
              <c:tx>
                <c:rich>
                  <a:bodyPr/>
                  <a:lstStyle/>
                  <a:p>
                    <a:fld id="{FA17C435-59AE-4433-85B6-E3E304ED20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ACB-455E-9A96-A98653FFCF61}"/>
                </c:ext>
              </c:extLst>
            </c:dLbl>
            <c:dLbl>
              <c:idx val="2"/>
              <c:layout>
                <c:manualLayout>
                  <c:x val="-1.4665443699534906E-2"/>
                  <c:y val="2.8354430379746835E-2"/>
                </c:manualLayout>
              </c:layout>
              <c:tx>
                <c:rich>
                  <a:bodyPr/>
                  <a:lstStyle/>
                  <a:p>
                    <a:fld id="{95E7F787-2682-406E-A6B0-D2B0D11D57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ACB-455E-9A96-A98653FFCF61}"/>
                </c:ext>
              </c:extLst>
            </c:dLbl>
            <c:dLbl>
              <c:idx val="3"/>
              <c:tx>
                <c:rich>
                  <a:bodyPr/>
                  <a:lstStyle/>
                  <a:p>
                    <a:fld id="{07570F8C-F601-4AA3-9F1E-F108C09EA7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Data'!$I$6:$I$9</c:f>
              <c:numCache>
                <c:formatCode>General</c:formatCode>
                <c:ptCount val="4"/>
                <c:pt idx="0">
                  <c:v>163</c:v>
                </c:pt>
                <c:pt idx="1">
                  <c:v>135</c:v>
                </c:pt>
                <c:pt idx="2">
                  <c:v>146</c:v>
                </c:pt>
                <c:pt idx="3">
                  <c:v>182</c:v>
                </c:pt>
              </c:numCache>
            </c:numRef>
          </c:xVal>
          <c:yVal>
            <c:numRef>
              <c:f>'January 2023 Data'!$H$6:$H$9</c:f>
              <c:numCache>
                <c:formatCode>General</c:formatCode>
                <c:ptCount val="4"/>
                <c:pt idx="0">
                  <c:v>183</c:v>
                </c:pt>
                <c:pt idx="1">
                  <c:v>183</c:v>
                </c:pt>
                <c:pt idx="2">
                  <c:v>185</c:v>
                </c:pt>
                <c:pt idx="3">
                  <c:v>186</c:v>
                </c:pt>
              </c:numCache>
            </c:numRef>
          </c:yVal>
          <c:smooth val="0"/>
          <c:extLst>
            <c:ext xmlns:c15="http://schemas.microsoft.com/office/drawing/2012/chart" uri="{02D57815-91ED-43cb-92C2-25804820EDAC}">
              <c15:datalabelsRange>
                <c15:f>'January 2023 Data'!$A$6:$A$9</c15:f>
                <c15:dlblRangeCache>
                  <c:ptCount val="4"/>
                  <c:pt idx="0">
                    <c:v>Shodai</c:v>
                  </c:pt>
                  <c:pt idx="1">
                    <c:v>Wakatakakage</c:v>
                  </c:pt>
                  <c:pt idx="2">
                    <c:v>Hoshoryu</c:v>
                  </c:pt>
                  <c:pt idx="3">
                    <c:v>Takayasu</c:v>
                  </c:pt>
                </c15:dlblRangeCache>
              </c15:datalabelsRange>
            </c:ext>
            <c:ext xmlns:c16="http://schemas.microsoft.com/office/drawing/2014/chart" uri="{C3380CC4-5D6E-409C-BE32-E72D297353CC}">
              <c16:uniqueId val="{00000008-4ACB-455E-9A96-A98653FFCF61}"/>
            </c:ext>
          </c:extLst>
        </c:ser>
        <c:ser>
          <c:idx val="3"/>
          <c:order val="3"/>
          <c:tx>
            <c:strRef>
              <c:f>'September 2022 Data'!$C$11</c:f>
              <c:strCache>
                <c:ptCount val="1"/>
                <c:pt idx="0">
                  <c:v>Komusubi</c:v>
                </c:pt>
              </c:strCache>
            </c:strRef>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layout>
                <c:manualLayout>
                  <c:x val="-6.746104101786031E-2"/>
                  <c:y val="-2.0253164556962026E-2"/>
                </c:manualLayout>
              </c:layout>
              <c:tx>
                <c:rich>
                  <a:bodyPr/>
                  <a:lstStyle/>
                  <a:p>
                    <a:fld id="{6FAB51F1-43F7-4354-B1B7-42D48E3E62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ACB-455E-9A96-A98653FFCF61}"/>
                </c:ext>
              </c:extLst>
            </c:dLbl>
            <c:dLbl>
              <c:idx val="1"/>
              <c:layout>
                <c:manualLayout>
                  <c:x val="-5.1329052948372034E-2"/>
                  <c:y val="3.4430379746835403E-2"/>
                </c:manualLayout>
              </c:layout>
              <c:tx>
                <c:rich>
                  <a:bodyPr/>
                  <a:lstStyle/>
                  <a:p>
                    <a:fld id="{4DF14690-1AC0-42BF-AFC8-60CB8C868D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ACB-455E-9A96-A98653FFCF61}"/>
                </c:ext>
              </c:extLst>
            </c:dLbl>
            <c:dLbl>
              <c:idx val="2"/>
              <c:tx>
                <c:rich>
                  <a:bodyPr/>
                  <a:lstStyle/>
                  <a:p>
                    <a:fld id="{87D0B7DA-599E-4A5D-9B91-B7C272AF07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ACB-455E-9A96-A98653FFCF61}"/>
                </c:ext>
              </c:extLst>
            </c:dLbl>
            <c:dLbl>
              <c:idx val="3"/>
              <c:tx>
                <c:rich>
                  <a:bodyPr/>
                  <a:lstStyle/>
                  <a:p>
                    <a:fld id="{0E9DFFF7-F1A3-4B5C-A918-BCA32395EC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Data'!$I$10:$I$13</c:f>
              <c:numCache>
                <c:formatCode>General</c:formatCode>
                <c:ptCount val="4"/>
                <c:pt idx="0">
                  <c:v>142</c:v>
                </c:pt>
                <c:pt idx="1">
                  <c:v>172</c:v>
                </c:pt>
                <c:pt idx="2">
                  <c:v>158</c:v>
                </c:pt>
                <c:pt idx="3">
                  <c:v>146</c:v>
                </c:pt>
              </c:numCache>
            </c:numRef>
          </c:xVal>
          <c:yVal>
            <c:numRef>
              <c:f>'January 2023 Data'!$H$10:$H$13</c:f>
              <c:numCache>
                <c:formatCode>General</c:formatCode>
                <c:ptCount val="4"/>
                <c:pt idx="0">
                  <c:v>185</c:v>
                </c:pt>
                <c:pt idx="1">
                  <c:v>189</c:v>
                </c:pt>
                <c:pt idx="2">
                  <c:v>180</c:v>
                </c:pt>
                <c:pt idx="3">
                  <c:v>186</c:v>
                </c:pt>
              </c:numCache>
            </c:numRef>
          </c:yVal>
          <c:smooth val="0"/>
          <c:extLst>
            <c:ext xmlns:c15="http://schemas.microsoft.com/office/drawing/2012/chart" uri="{02D57815-91ED-43cb-92C2-25804820EDAC}">
              <c15:datalabelsRange>
                <c15:f>'January 2023 Data'!$A$10:$A$13</c15:f>
                <c15:dlblRangeCache>
                  <c:ptCount val="4"/>
                  <c:pt idx="0">
                    <c:v>Kiribayama</c:v>
                  </c:pt>
                  <c:pt idx="1">
                    <c:v>Kotonowaka</c:v>
                  </c:pt>
                  <c:pt idx="2">
                    <c:v>Meisei</c:v>
                  </c:pt>
                  <c:pt idx="3">
                    <c:v>Wakamotoharu</c:v>
                  </c:pt>
                </c15:dlblRangeCache>
              </c15:datalabelsRange>
            </c:ext>
            <c:ext xmlns:c16="http://schemas.microsoft.com/office/drawing/2014/chart" uri="{C3380CC4-5D6E-409C-BE32-E72D297353CC}">
              <c16:uniqueId val="{0000000D-4ACB-455E-9A96-A98653FFCF61}"/>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tx>
                <c:rich>
                  <a:bodyPr/>
                  <a:lstStyle/>
                  <a:p>
                    <a:fld id="{ECA027A2-AA04-40D6-B371-C3776EF91B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ACB-455E-9A96-A98653FFCF61}"/>
                </c:ext>
              </c:extLst>
            </c:dLbl>
            <c:dLbl>
              <c:idx val="1"/>
              <c:tx>
                <c:rich>
                  <a:bodyPr/>
                  <a:lstStyle/>
                  <a:p>
                    <a:fld id="{A1F1F215-EE4C-4023-9B7C-2377EB109B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ACB-455E-9A96-A98653FFCF61}"/>
                </c:ext>
              </c:extLst>
            </c:dLbl>
            <c:dLbl>
              <c:idx val="2"/>
              <c:tx>
                <c:rich>
                  <a:bodyPr/>
                  <a:lstStyle/>
                  <a:p>
                    <a:fld id="{AFA8B96C-EA46-46CF-8A25-183AC5766C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ACB-455E-9A96-A98653FFCF61}"/>
                </c:ext>
              </c:extLst>
            </c:dLbl>
            <c:dLbl>
              <c:idx val="3"/>
              <c:layout>
                <c:manualLayout>
                  <c:x val="-2.1998165549302385E-2"/>
                  <c:y val="-4.860759493670886E-2"/>
                </c:manualLayout>
              </c:layout>
              <c:tx>
                <c:rich>
                  <a:bodyPr/>
                  <a:lstStyle/>
                  <a:p>
                    <a:fld id="{8C9F35BC-5629-4204-A2B1-AA563F9CB4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ACB-455E-9A96-A98653FFCF61}"/>
                </c:ext>
              </c:extLst>
            </c:dLbl>
            <c:dLbl>
              <c:idx val="4"/>
              <c:tx>
                <c:rich>
                  <a:bodyPr/>
                  <a:lstStyle/>
                  <a:p>
                    <a:fld id="{88B99F63-A6BD-43A1-A943-820E097DAF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ACB-455E-9A96-A98653FFCF61}"/>
                </c:ext>
              </c:extLst>
            </c:dLbl>
            <c:dLbl>
              <c:idx val="5"/>
              <c:tx>
                <c:rich>
                  <a:bodyPr/>
                  <a:lstStyle/>
                  <a:p>
                    <a:fld id="{953FC819-AE2E-451E-8B5B-C32EC4BD63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ACB-455E-9A96-A98653FFCF61}"/>
                </c:ext>
              </c:extLst>
            </c:dLbl>
            <c:dLbl>
              <c:idx val="6"/>
              <c:tx>
                <c:rich>
                  <a:bodyPr/>
                  <a:lstStyle/>
                  <a:p>
                    <a:fld id="{A211EE56-28C6-4613-8BF7-340C7FABFF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ACB-455E-9A96-A98653FFCF61}"/>
                </c:ext>
              </c:extLst>
            </c:dLbl>
            <c:dLbl>
              <c:idx val="7"/>
              <c:layout>
                <c:manualLayout>
                  <c:x val="-7.3327218497674261E-3"/>
                  <c:y val="-3.0379746835443037E-2"/>
                </c:manualLayout>
              </c:layout>
              <c:tx>
                <c:rich>
                  <a:bodyPr/>
                  <a:lstStyle/>
                  <a:p>
                    <a:fld id="{A247E4BC-6DBC-47D9-AFDA-4EC0A74940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Data'!$I$14:$I$21</c:f>
              <c:numCache>
                <c:formatCode>General</c:formatCode>
                <c:ptCount val="8"/>
                <c:pt idx="0">
                  <c:v>165</c:v>
                </c:pt>
                <c:pt idx="1">
                  <c:v>130</c:v>
                </c:pt>
                <c:pt idx="2">
                  <c:v>174</c:v>
                </c:pt>
                <c:pt idx="3">
                  <c:v>174</c:v>
                </c:pt>
                <c:pt idx="4">
                  <c:v>117</c:v>
                </c:pt>
                <c:pt idx="5">
                  <c:v>159</c:v>
                </c:pt>
                <c:pt idx="6">
                  <c:v>144</c:v>
                </c:pt>
                <c:pt idx="7">
                  <c:v>155</c:v>
                </c:pt>
              </c:numCache>
            </c:numRef>
          </c:xVal>
          <c:yVal>
            <c:numRef>
              <c:f>'January 2023 Data'!$H$14:$H$21</c:f>
              <c:numCache>
                <c:formatCode>General</c:formatCode>
                <c:ptCount val="8"/>
                <c:pt idx="0">
                  <c:v>182</c:v>
                </c:pt>
                <c:pt idx="1">
                  <c:v>174</c:v>
                </c:pt>
                <c:pt idx="2">
                  <c:v>179</c:v>
                </c:pt>
                <c:pt idx="3">
                  <c:v>189</c:v>
                </c:pt>
                <c:pt idx="4">
                  <c:v>171</c:v>
                </c:pt>
                <c:pt idx="5">
                  <c:v>187</c:v>
                </c:pt>
                <c:pt idx="6">
                  <c:v>182</c:v>
                </c:pt>
                <c:pt idx="7">
                  <c:v>184</c:v>
                </c:pt>
              </c:numCache>
            </c:numRef>
          </c:yVal>
          <c:smooth val="0"/>
          <c:extLst>
            <c:ext xmlns:c15="http://schemas.microsoft.com/office/drawing/2012/chart" uri="{02D57815-91ED-43cb-92C2-25804820EDAC}">
              <c15:datalabelsRange>
                <c15:f>'January 2023 Data'!$A$14:$A$21</c15:f>
                <c15:dlblRangeCache>
                  <c:ptCount val="8"/>
                  <c:pt idx="0">
                    <c:v>Daieisho</c:v>
                  </c:pt>
                  <c:pt idx="1">
                    <c:v>Tobizaru</c:v>
                  </c:pt>
                  <c:pt idx="2">
                    <c:v>Mitakeumi</c:v>
                  </c:pt>
                  <c:pt idx="3">
                    <c:v>Tamawashi</c:v>
                  </c:pt>
                  <c:pt idx="4">
                    <c:v>Midorifuji</c:v>
                  </c:pt>
                  <c:pt idx="5">
                    <c:v>Abi</c:v>
                  </c:pt>
                  <c:pt idx="6">
                    <c:v>Sadanoumi</c:v>
                  </c:pt>
                  <c:pt idx="7">
                    <c:v>Nishikifuji</c:v>
                  </c:pt>
                </c15:dlblRangeCache>
              </c15:datalabelsRange>
            </c:ext>
            <c:ext xmlns:c16="http://schemas.microsoft.com/office/drawing/2014/chart" uri="{C3380CC4-5D6E-409C-BE32-E72D297353CC}">
              <c16:uniqueId val="{00000016-4ACB-455E-9A96-A98653FFCF61}"/>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99A00779-F158-430A-A4ED-221FAA14A7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ACB-455E-9A96-A98653FFCF61}"/>
                </c:ext>
              </c:extLst>
            </c:dLbl>
            <c:dLbl>
              <c:idx val="1"/>
              <c:layout>
                <c:manualLayout>
                  <c:x val="-7.4793762867627803E-2"/>
                  <c:y val="-2.6329113924050671E-2"/>
                </c:manualLayout>
              </c:layout>
              <c:tx>
                <c:rich>
                  <a:bodyPr/>
                  <a:lstStyle/>
                  <a:p>
                    <a:fld id="{57E36AC4-3203-4D49-9599-AB513CF62E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4ACB-455E-9A96-A98653FFCF61}"/>
                </c:ext>
              </c:extLst>
            </c:dLbl>
            <c:dLbl>
              <c:idx val="2"/>
              <c:layout>
                <c:manualLayout>
                  <c:x val="-6.746104101786031E-2"/>
                  <c:y val="6.2784810126582283E-2"/>
                </c:manualLayout>
              </c:layout>
              <c:tx>
                <c:rich>
                  <a:bodyPr/>
                  <a:lstStyle/>
                  <a:p>
                    <a:fld id="{6FB41890-7EDD-4F05-8474-48547DFEA1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4ACB-455E-9A96-A98653FFCF61}"/>
                </c:ext>
              </c:extLst>
            </c:dLbl>
            <c:dLbl>
              <c:idx val="3"/>
              <c:layout>
                <c:manualLayout>
                  <c:x val="-7.7726851607534772E-2"/>
                  <c:y val="-8.1012658227848106E-3"/>
                </c:manualLayout>
              </c:layout>
              <c:tx>
                <c:rich>
                  <a:bodyPr/>
                  <a:lstStyle/>
                  <a:p>
                    <a:fld id="{E8783C12-74FC-4FCD-A341-B55BDD01EC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4ACB-455E-9A96-A98653FFCF61}"/>
                </c:ext>
              </c:extLst>
            </c:dLbl>
            <c:dLbl>
              <c:idx val="4"/>
              <c:tx>
                <c:rich>
                  <a:bodyPr/>
                  <a:lstStyle/>
                  <a:p>
                    <a:fld id="{77C8114F-6A89-4F1B-876C-27FB1F4E0E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ACB-455E-9A96-A98653FFCF61}"/>
                </c:ext>
              </c:extLst>
            </c:dLbl>
            <c:dLbl>
              <c:idx val="5"/>
              <c:tx>
                <c:rich>
                  <a:bodyPr/>
                  <a:lstStyle/>
                  <a:p>
                    <a:fld id="{BEDDD806-28C3-4F25-98B3-F1A246579E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ACB-455E-9A96-A98653FFCF61}"/>
                </c:ext>
              </c:extLst>
            </c:dLbl>
            <c:dLbl>
              <c:idx val="6"/>
              <c:tx>
                <c:rich>
                  <a:bodyPr/>
                  <a:lstStyle/>
                  <a:p>
                    <a:fld id="{25C87EEE-907D-4316-BE49-5A0D4490D0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ACB-455E-9A96-A98653FFCF61}"/>
                </c:ext>
              </c:extLst>
            </c:dLbl>
            <c:dLbl>
              <c:idx val="7"/>
              <c:tx>
                <c:rich>
                  <a:bodyPr/>
                  <a:lstStyle/>
                  <a:p>
                    <a:fld id="{CF269CB9-6026-48FF-8272-F062CB93A8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Data'!$I$22:$I$29</c:f>
              <c:numCache>
                <c:formatCode>General</c:formatCode>
                <c:ptCount val="8"/>
                <c:pt idx="0">
                  <c:v>179</c:v>
                </c:pt>
                <c:pt idx="1">
                  <c:v>157</c:v>
                </c:pt>
                <c:pt idx="2">
                  <c:v>163</c:v>
                </c:pt>
                <c:pt idx="3">
                  <c:v>157</c:v>
                </c:pt>
                <c:pt idx="4">
                  <c:v>212</c:v>
                </c:pt>
                <c:pt idx="5">
                  <c:v>148</c:v>
                </c:pt>
                <c:pt idx="6">
                  <c:v>165</c:v>
                </c:pt>
                <c:pt idx="7">
                  <c:v>179</c:v>
                </c:pt>
              </c:numCache>
            </c:numRef>
          </c:xVal>
          <c:yVal>
            <c:numRef>
              <c:f>'January 2023 Data'!$H$22:$H$29</c:f>
              <c:numCache>
                <c:formatCode>General</c:formatCode>
                <c:ptCount val="8"/>
                <c:pt idx="0">
                  <c:v>184</c:v>
                </c:pt>
                <c:pt idx="1">
                  <c:v>187</c:v>
                </c:pt>
                <c:pt idx="2">
                  <c:v>184</c:v>
                </c:pt>
                <c:pt idx="3">
                  <c:v>189</c:v>
                </c:pt>
                <c:pt idx="4">
                  <c:v>190</c:v>
                </c:pt>
                <c:pt idx="5">
                  <c:v>175</c:v>
                </c:pt>
                <c:pt idx="6">
                  <c:v>178</c:v>
                </c:pt>
                <c:pt idx="7">
                  <c:v>189</c:v>
                </c:pt>
              </c:numCache>
            </c:numRef>
          </c:yVal>
          <c:smooth val="0"/>
          <c:extLst>
            <c:ext xmlns:c15="http://schemas.microsoft.com/office/drawing/2012/chart" uri="{02D57815-91ED-43cb-92C2-25804820EDAC}">
              <c15:datalabelsRange>
                <c15:f>'January 2023 Data'!$A$22:$A$29</c15:f>
                <c15:dlblRangeCache>
                  <c:ptCount val="8"/>
                  <c:pt idx="0">
                    <c:v>Nishikigi</c:v>
                  </c:pt>
                  <c:pt idx="1">
                    <c:v>Ryuden</c:v>
                  </c:pt>
                  <c:pt idx="2">
                    <c:v>Hokutofuji</c:v>
                  </c:pt>
                  <c:pt idx="3">
                    <c:v>Myogiryu</c:v>
                  </c:pt>
                  <c:pt idx="4">
                    <c:v>Ichinojo</c:v>
                  </c:pt>
                  <c:pt idx="5">
                    <c:v>Ura</c:v>
                  </c:pt>
                  <c:pt idx="6">
                    <c:v>Onosho</c:v>
                  </c:pt>
                  <c:pt idx="7">
                    <c:v>Oho</c:v>
                  </c:pt>
                </c15:dlblRangeCache>
              </c15:datalabelsRange>
            </c:ext>
            <c:ext xmlns:c16="http://schemas.microsoft.com/office/drawing/2014/chart" uri="{C3380CC4-5D6E-409C-BE32-E72D297353CC}">
              <c16:uniqueId val="{0000001F-4ACB-455E-9A96-A98653FFCF61}"/>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453E39E6-291A-4BB9-82C1-7EC6C83A21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ACB-455E-9A96-A98653FFCF61}"/>
                </c:ext>
              </c:extLst>
            </c:dLbl>
            <c:dLbl>
              <c:idx val="1"/>
              <c:tx>
                <c:rich>
                  <a:bodyPr/>
                  <a:lstStyle/>
                  <a:p>
                    <a:fld id="{3FE69699-BDBD-4F3C-91E0-A9715A9717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ACB-455E-9A96-A98653FFCF61}"/>
                </c:ext>
              </c:extLst>
            </c:dLbl>
            <c:dLbl>
              <c:idx val="2"/>
              <c:tx>
                <c:rich>
                  <a:bodyPr/>
                  <a:lstStyle/>
                  <a:p>
                    <a:fld id="{C39C6EA3-D5AF-44B9-A65C-AE05602CA1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ACB-455E-9A96-A98653FFCF61}"/>
                </c:ext>
              </c:extLst>
            </c:dLbl>
            <c:dLbl>
              <c:idx val="3"/>
              <c:tx>
                <c:rich>
                  <a:bodyPr/>
                  <a:lstStyle/>
                  <a:p>
                    <a:fld id="{0E542F7F-B522-454B-97F0-55C18F2D7B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ACB-455E-9A96-A98653FFCF61}"/>
                </c:ext>
              </c:extLst>
            </c:dLbl>
            <c:dLbl>
              <c:idx val="4"/>
              <c:layout>
                <c:manualLayout>
                  <c:x val="4.3996331098604558E-3"/>
                  <c:y val="-2.2278481012658228E-2"/>
                </c:manualLayout>
              </c:layout>
              <c:tx>
                <c:rich>
                  <a:bodyPr/>
                  <a:lstStyle/>
                  <a:p>
                    <a:fld id="{8C85C42D-F51E-48B6-ABCB-BA7E514B91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ACB-455E-9A96-A98653FFCF61}"/>
                </c:ext>
              </c:extLst>
            </c:dLbl>
            <c:dLbl>
              <c:idx val="5"/>
              <c:layout>
                <c:manualLayout>
                  <c:x val="1.4665443699534851E-3"/>
                  <c:y val="2.0253164556962027E-3"/>
                </c:manualLayout>
              </c:layout>
              <c:tx>
                <c:rich>
                  <a:bodyPr/>
                  <a:lstStyle/>
                  <a:p>
                    <a:fld id="{DF7B0896-0D7A-470A-966D-FBF81C13E8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4ACB-455E-9A96-A98653FFCF61}"/>
                </c:ext>
              </c:extLst>
            </c:dLbl>
            <c:dLbl>
              <c:idx val="6"/>
              <c:layout>
                <c:manualLayout>
                  <c:x val="-8.2126484717395171E-2"/>
                  <c:y val="-5.8734177215189871E-2"/>
                </c:manualLayout>
              </c:layout>
              <c:tx>
                <c:rich>
                  <a:bodyPr/>
                  <a:lstStyle/>
                  <a:p>
                    <a:fld id="{221E849D-A4F6-4E01-8151-7B07BB5405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4ACB-455E-9A96-A98653FFCF61}"/>
                </c:ext>
              </c:extLst>
            </c:dLbl>
            <c:dLbl>
              <c:idx val="7"/>
              <c:tx>
                <c:rich>
                  <a:bodyPr/>
                  <a:lstStyle/>
                  <a:p>
                    <a:fld id="{242A4635-B581-4F49-91BA-AFD7A4401B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Data'!$I$30:$I$37</c:f>
              <c:numCache>
                <c:formatCode>General</c:formatCode>
                <c:ptCount val="8"/>
                <c:pt idx="0">
                  <c:v>150</c:v>
                </c:pt>
                <c:pt idx="1">
                  <c:v>167</c:v>
                </c:pt>
                <c:pt idx="2">
                  <c:v>184</c:v>
                </c:pt>
                <c:pt idx="3">
                  <c:v>138</c:v>
                </c:pt>
                <c:pt idx="4">
                  <c:v>182</c:v>
                </c:pt>
                <c:pt idx="5">
                  <c:v>137</c:v>
                </c:pt>
                <c:pt idx="6">
                  <c:v>161</c:v>
                </c:pt>
                <c:pt idx="7">
                  <c:v>156</c:v>
                </c:pt>
              </c:numCache>
            </c:numRef>
          </c:xVal>
          <c:yVal>
            <c:numRef>
              <c:f>'January 2023 Data'!$H$30:$H$37</c:f>
              <c:numCache>
                <c:formatCode>General</c:formatCode>
                <c:ptCount val="8"/>
                <c:pt idx="0">
                  <c:v>183</c:v>
                </c:pt>
                <c:pt idx="1">
                  <c:v>184</c:v>
                </c:pt>
                <c:pt idx="2">
                  <c:v>190</c:v>
                </c:pt>
                <c:pt idx="3">
                  <c:v>178</c:v>
                </c:pt>
                <c:pt idx="4">
                  <c:v>192</c:v>
                </c:pt>
                <c:pt idx="5">
                  <c:v>183</c:v>
                </c:pt>
                <c:pt idx="6">
                  <c:v>189</c:v>
                </c:pt>
                <c:pt idx="7">
                  <c:v>193</c:v>
                </c:pt>
              </c:numCache>
            </c:numRef>
          </c:yVal>
          <c:smooth val="0"/>
          <c:extLst>
            <c:ext xmlns:c15="http://schemas.microsoft.com/office/drawing/2012/chart" uri="{02D57815-91ED-43cb-92C2-25804820EDAC}">
              <c15:datalabelsRange>
                <c15:f>'January 2023 Data'!$A$30:$A$37</c15:f>
                <c15:dlblRangeCache>
                  <c:ptCount val="8"/>
                  <c:pt idx="0">
                    <c:v>Endo</c:v>
                  </c:pt>
                  <c:pt idx="1">
                    <c:v>Takanosho</c:v>
                  </c:pt>
                  <c:pt idx="2">
                    <c:v>Aoiyama</c:v>
                  </c:pt>
                  <c:pt idx="3">
                    <c:v>Hiradoumi</c:v>
                  </c:pt>
                  <c:pt idx="4">
                    <c:v>Tochinoshin</c:v>
                  </c:pt>
                  <c:pt idx="5">
                    <c:v>Chiyoshoma</c:v>
                  </c:pt>
                  <c:pt idx="6">
                    <c:v>Okinoumi</c:v>
                  </c:pt>
                  <c:pt idx="7">
                    <c:v>Kagayaki</c:v>
                  </c:pt>
                </c15:dlblRangeCache>
              </c15:datalabelsRange>
            </c:ext>
            <c:ext xmlns:c16="http://schemas.microsoft.com/office/drawing/2014/chart" uri="{C3380CC4-5D6E-409C-BE32-E72D297353CC}">
              <c16:uniqueId val="{00000028-4ACB-455E-9A96-A98653FFCF61}"/>
            </c:ext>
          </c:extLst>
        </c:ser>
        <c:ser>
          <c:idx val="7"/>
          <c:order val="7"/>
          <c:tx>
            <c:v>M13-16</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layout>
                <c:manualLayout>
                  <c:x val="0"/>
                  <c:y val="-2.0253164556962026E-2"/>
                </c:manualLayout>
              </c:layout>
              <c:tx>
                <c:rich>
                  <a:bodyPr/>
                  <a:lstStyle/>
                  <a:p>
                    <a:fld id="{97986468-6C15-45E7-A3A0-1ABF17515E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4ACB-455E-9A96-A98653FFCF61}"/>
                </c:ext>
              </c:extLst>
            </c:dLbl>
            <c:dLbl>
              <c:idx val="1"/>
              <c:tx>
                <c:rich>
                  <a:bodyPr/>
                  <a:lstStyle/>
                  <a:p>
                    <a:fld id="{913F71E5-D6B9-40F1-94BD-6488EDA8F3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4ACB-455E-9A96-A98653FFCF61}"/>
                </c:ext>
              </c:extLst>
            </c:dLbl>
            <c:dLbl>
              <c:idx val="2"/>
              <c:layout>
                <c:manualLayout>
                  <c:x val="-9.6791928416930045E-2"/>
                  <c:y val="-2.8354430379746873E-2"/>
                </c:manualLayout>
              </c:layout>
              <c:tx>
                <c:rich>
                  <a:bodyPr/>
                  <a:lstStyle/>
                  <a:p>
                    <a:fld id="{4C805BA4-705D-4EF5-9695-A8251C571E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4ACB-455E-9A96-A98653FFCF61}"/>
                </c:ext>
              </c:extLst>
            </c:dLbl>
            <c:dLbl>
              <c:idx val="3"/>
              <c:tx>
                <c:rich>
                  <a:bodyPr/>
                  <a:lstStyle/>
                  <a:p>
                    <a:fld id="{DC8CBAEF-45E9-4D56-B012-71168359D3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4ACB-455E-9A96-A98653FFCF61}"/>
                </c:ext>
              </c:extLst>
            </c:dLbl>
            <c:dLbl>
              <c:idx val="4"/>
              <c:tx>
                <c:rich>
                  <a:bodyPr/>
                  <a:lstStyle/>
                  <a:p>
                    <a:fld id="{BCDB268D-D846-4ABD-B5C5-D54178263B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4ACB-455E-9A96-A98653FFCF61}"/>
                </c:ext>
              </c:extLst>
            </c:dLbl>
            <c:dLbl>
              <c:idx val="5"/>
              <c:tx>
                <c:rich>
                  <a:bodyPr/>
                  <a:lstStyle/>
                  <a:p>
                    <a:fld id="{DC114B03-8469-4C25-92AF-1DB41C54AB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4ACB-455E-9A96-A98653FFCF61}"/>
                </c:ext>
              </c:extLst>
            </c:dLbl>
            <c:dLbl>
              <c:idx val="6"/>
              <c:layout>
                <c:manualLayout>
                  <c:x val="-1.9065076809395308E-2"/>
                  <c:y val="-2.6329113924050632E-2"/>
                </c:manualLayout>
              </c:layout>
              <c:tx>
                <c:rich>
                  <a:bodyPr/>
                  <a:lstStyle/>
                  <a:p>
                    <a:fld id="{FC7648AA-B306-4CDB-9D07-5B4358C763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4ACB-455E-9A96-A98653FFCF61}"/>
                </c:ext>
              </c:extLst>
            </c:dLbl>
            <c:dLbl>
              <c:idx val="7"/>
              <c:tx>
                <c:rich>
                  <a:bodyPr/>
                  <a:lstStyle/>
                  <a:p>
                    <a:fld id="{C711E8B9-E77E-4F35-8C23-CDD3E660A5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Data'!$I$38:$I$45</c:f>
              <c:numCache>
                <c:formatCode>General</c:formatCode>
                <c:ptCount val="8"/>
                <c:pt idx="0">
                  <c:v>163</c:v>
                </c:pt>
                <c:pt idx="1">
                  <c:v>128</c:v>
                </c:pt>
                <c:pt idx="2">
                  <c:v>146</c:v>
                </c:pt>
                <c:pt idx="3">
                  <c:v>162</c:v>
                </c:pt>
                <c:pt idx="4">
                  <c:v>200</c:v>
                </c:pt>
                <c:pt idx="5">
                  <c:v>197</c:v>
                </c:pt>
                <c:pt idx="6">
                  <c:v>171</c:v>
                </c:pt>
                <c:pt idx="7">
                  <c:v>169</c:v>
                </c:pt>
              </c:numCache>
            </c:numRef>
          </c:xVal>
          <c:yVal>
            <c:numRef>
              <c:f>'January 2023 Data'!$H$38:$H$45</c:f>
              <c:numCache>
                <c:formatCode>General</c:formatCode>
                <c:ptCount val="8"/>
                <c:pt idx="0">
                  <c:v>189</c:v>
                </c:pt>
                <c:pt idx="1">
                  <c:v>176</c:v>
                </c:pt>
                <c:pt idx="2">
                  <c:v>187</c:v>
                </c:pt>
                <c:pt idx="3">
                  <c:v>191</c:v>
                </c:pt>
                <c:pt idx="4">
                  <c:v>184</c:v>
                </c:pt>
                <c:pt idx="5">
                  <c:v>190</c:v>
                </c:pt>
                <c:pt idx="6">
                  <c:v>186</c:v>
                </c:pt>
                <c:pt idx="7">
                  <c:v>177</c:v>
                </c:pt>
              </c:numCache>
            </c:numRef>
          </c:yVal>
          <c:smooth val="0"/>
          <c:extLst>
            <c:ext xmlns:c15="http://schemas.microsoft.com/office/drawing/2012/chart" uri="{02D57815-91ED-43cb-92C2-25804820EDAC}">
              <c15:datalabelsRange>
                <c15:f>'January 2023 Data'!$A$38:$A$45</c15:f>
                <c15:dlblRangeCache>
                  <c:ptCount val="8"/>
                  <c:pt idx="0">
                    <c:v>Kotoshoho</c:v>
                  </c:pt>
                  <c:pt idx="1">
                    <c:v>Kotoeko</c:v>
                  </c:pt>
                  <c:pt idx="2">
                    <c:v>Ichiyamamoto</c:v>
                  </c:pt>
                  <c:pt idx="3">
                    <c:v>Azumaryu</c:v>
                  </c:pt>
                  <c:pt idx="4">
                    <c:v>Tsurugisho</c:v>
                  </c:pt>
                  <c:pt idx="5">
                    <c:v>Mitoryu</c:v>
                  </c:pt>
                  <c:pt idx="6">
                    <c:v>Takarafuji</c:v>
                  </c:pt>
                  <c:pt idx="7">
                    <c:v>Chiyomaru</c:v>
                  </c:pt>
                </c15:dlblRangeCache>
              </c15:datalabelsRange>
            </c:ext>
            <c:ext xmlns:c16="http://schemas.microsoft.com/office/drawing/2014/chart" uri="{C3380CC4-5D6E-409C-BE32-E72D297353CC}">
              <c16:uniqueId val="{00000031-4ACB-455E-9A96-A98653FFCF61}"/>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Change in weight </a:t>
            </a:r>
          </a:p>
          <a:p>
            <a:pPr>
              <a:defRPr/>
            </a:pPr>
            <a:r>
              <a:rPr lang="en-US" sz="2000"/>
              <a:t>Nov 2022 - Jan 2023</a:t>
            </a:r>
          </a:p>
        </c:rich>
      </c:tx>
      <c:layout>
        <c:manualLayout>
          <c:xMode val="edge"/>
          <c:yMode val="edge"/>
          <c:x val="8.4981684981684985E-2"/>
          <c:y val="2.42914979757085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189264803438036E-2"/>
          <c:y val="1.1118460900889414E-2"/>
          <c:w val="0.91769351907934582"/>
          <c:h val="0.90385970225381751"/>
        </c:manualLayout>
      </c:layout>
      <c:barChart>
        <c:barDir val="col"/>
        <c:grouping val="clustered"/>
        <c:varyColors val="0"/>
        <c:ser>
          <c:idx val="0"/>
          <c:order val="0"/>
          <c:tx>
            <c:v>Change in weight Nov 2022 - Jan 2023</c:v>
          </c:tx>
          <c:spPr>
            <a:solidFill>
              <a:schemeClr val="accent4"/>
            </a:solidFill>
            <a:ln>
              <a:noFill/>
            </a:ln>
            <a:effectLst/>
          </c:spPr>
          <c:invertIfNegative val="0"/>
          <c:cat>
            <c:numRef>
              <c:f>'January 2023 Data'!$V$4:$V$18</c:f>
              <c:numCache>
                <c:formatCode>General</c:formatCode>
                <c:ptCount val="15"/>
                <c:pt idx="0">
                  <c:v>-3</c:v>
                </c:pt>
                <c:pt idx="1">
                  <c:v>-2</c:v>
                </c:pt>
                <c:pt idx="2">
                  <c:v>-1</c:v>
                </c:pt>
                <c:pt idx="3">
                  <c:v>0</c:v>
                </c:pt>
                <c:pt idx="4">
                  <c:v>1</c:v>
                </c:pt>
                <c:pt idx="5">
                  <c:v>2</c:v>
                </c:pt>
                <c:pt idx="6">
                  <c:v>3</c:v>
                </c:pt>
                <c:pt idx="7">
                  <c:v>4</c:v>
                </c:pt>
                <c:pt idx="8">
                  <c:v>5</c:v>
                </c:pt>
                <c:pt idx="9">
                  <c:v>6</c:v>
                </c:pt>
                <c:pt idx="10">
                  <c:v>7</c:v>
                </c:pt>
                <c:pt idx="11">
                  <c:v>8</c:v>
                </c:pt>
                <c:pt idx="12">
                  <c:v>9</c:v>
                </c:pt>
                <c:pt idx="13">
                  <c:v>10</c:v>
                </c:pt>
                <c:pt idx="14">
                  <c:v>11</c:v>
                </c:pt>
              </c:numCache>
            </c:numRef>
          </c:cat>
          <c:val>
            <c:numRef>
              <c:f>'January 2023 Data'!$W$4:$W$18</c:f>
              <c:numCache>
                <c:formatCode>General</c:formatCode>
                <c:ptCount val="15"/>
                <c:pt idx="0">
                  <c:v>3</c:v>
                </c:pt>
                <c:pt idx="1">
                  <c:v>1</c:v>
                </c:pt>
                <c:pt idx="2">
                  <c:v>1</c:v>
                </c:pt>
                <c:pt idx="3">
                  <c:v>6</c:v>
                </c:pt>
                <c:pt idx="4">
                  <c:v>4</c:v>
                </c:pt>
                <c:pt idx="5">
                  <c:v>3</c:v>
                </c:pt>
                <c:pt idx="6">
                  <c:v>10</c:v>
                </c:pt>
                <c:pt idx="7">
                  <c:v>2</c:v>
                </c:pt>
                <c:pt idx="8">
                  <c:v>6</c:v>
                </c:pt>
                <c:pt idx="9">
                  <c:v>1</c:v>
                </c:pt>
                <c:pt idx="10">
                  <c:v>1</c:v>
                </c:pt>
                <c:pt idx="11">
                  <c:v>1</c:v>
                </c:pt>
                <c:pt idx="12">
                  <c:v>1</c:v>
                </c:pt>
                <c:pt idx="13">
                  <c:v>0</c:v>
                </c:pt>
                <c:pt idx="14">
                  <c:v>1</c:v>
                </c:pt>
              </c:numCache>
            </c:numRef>
          </c:val>
          <c:extLst>
            <c:ext xmlns:c16="http://schemas.microsoft.com/office/drawing/2014/chart" uri="{C3380CC4-5D6E-409C-BE32-E72D297353CC}">
              <c16:uniqueId val="{00000000-58D7-4245-8833-D44E43232CBE}"/>
            </c:ext>
          </c:extLst>
        </c:ser>
        <c:dLbls>
          <c:showLegendKey val="0"/>
          <c:showVal val="0"/>
          <c:showCatName val="0"/>
          <c:showSerName val="0"/>
          <c:showPercent val="0"/>
          <c:showBubbleSize val="0"/>
        </c:dLbls>
        <c:gapWidth val="38"/>
        <c:overlap val="-27"/>
        <c:axId val="378171888"/>
        <c:axId val="378172304"/>
      </c:barChart>
      <c:catAx>
        <c:axId val="3781718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Change in Kilograms</a:t>
                </a:r>
              </a:p>
            </c:rich>
          </c:tx>
          <c:layout>
            <c:manualLayout>
              <c:xMode val="edge"/>
              <c:yMode val="edge"/>
              <c:x val="7.4307057771624718E-2"/>
              <c:y val="0.954392712550607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172304"/>
        <c:crosses val="autoZero"/>
        <c:auto val="1"/>
        <c:lblAlgn val="ctr"/>
        <c:lblOffset val="100"/>
        <c:noMultiLvlLbl val="0"/>
      </c:catAx>
      <c:valAx>
        <c:axId val="378172304"/>
        <c:scaling>
          <c:orientation val="minMax"/>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Number of Makuuchi wrestlers</a:t>
                </a:r>
              </a:p>
            </c:rich>
          </c:tx>
          <c:layout>
            <c:manualLayout>
              <c:xMode val="edge"/>
              <c:yMode val="edge"/>
              <c:x val="0"/>
              <c:y val="1.05178679588128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171888"/>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March 2023 Makuuchi Wrestlers</a:t>
            </a:r>
          </a:p>
        </c:rich>
      </c:tx>
      <c:layout>
        <c:manualLayout>
          <c:xMode val="edge"/>
          <c:yMode val="edge"/>
          <c:x val="0.29465809481105421"/>
          <c:y val="1.21212121212121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322130974421734E-2"/>
          <c:y val="7.4949017736419307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2.7864343029116324E-2"/>
                  <c:y val="-3.0303030303030304E-2"/>
                </c:manualLayout>
              </c:layout>
              <c:tx>
                <c:rich>
                  <a:bodyPr/>
                  <a:lstStyle/>
                  <a:p>
                    <a:fld id="{4FAC22B6-E997-4746-B6AC-EC30924D8B24}"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{4FAC22B6-E997-4746-B6AC-EC30924D8B24}</c15:txfldGUID>
                      <c15:f>'March 2023 Data'!$A$4</c15:f>
                      <c15:dlblFieldTableCache>
                        <c:ptCount val="1"/>
                        <c:pt idx="0">
                          <c:v>Terunofuji</c:v>
                        </c:pt>
                      </c15:dlblFieldTableCache>
                    </c15:dlblFTEntry>
                  </c15:dlblFieldTable>
                  <c15:showDataLabelsRange val="0"/>
                </c:ext>
                <c:ext xmlns:c16="http://schemas.microsoft.com/office/drawing/2014/chart" uri="{C3380CC4-5D6E-409C-BE32-E72D297353CC}">
                  <c16:uniqueId val="{00000000-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'March 2023 Data'!$J$4</c:f>
              <c:numCache>
                <c:formatCode>General</c:formatCode>
                <c:ptCount val="1"/>
                <c:pt idx="0">
                  <c:v>180</c:v>
                </c:pt>
              </c:numCache>
            </c:numRef>
          </c:xVal>
          <c:yVal>
            <c:numRef>
              <c:f>'March 2023 Data'!$I$4</c:f>
              <c:numCache>
                <c:formatCode>General</c:formatCode>
                <c:ptCount val="1"/>
                <c:pt idx="0">
                  <c:v>192</c:v>
                </c:pt>
              </c:numCache>
            </c:numRef>
          </c:yVal>
          <c:smooth val="0"/>
          <c:extLst>
            <c:ext xmlns:c16="http://schemas.microsoft.com/office/drawing/2014/chart" uri="{C3380CC4-5D6E-409C-BE32-E72D297353CC}">
              <c16:uniqueId val="{00000001-5B85-4AE0-8D30-117960B5E123}"/>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FDA5FE89-8B00-485D-B6C3-2C5F3FBB32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Data'!$J$5</c:f>
              <c:numCache>
                <c:formatCode>General</c:formatCode>
                <c:ptCount val="1"/>
                <c:pt idx="0">
                  <c:v>165</c:v>
                </c:pt>
              </c:numCache>
            </c:numRef>
          </c:xVal>
          <c:yVal>
            <c:numRef>
              <c:f>'March 2023 Data'!$I$5</c:f>
              <c:numCache>
                <c:formatCode>General</c:formatCode>
                <c:ptCount val="1"/>
                <c:pt idx="0">
                  <c:v>175</c:v>
                </c:pt>
              </c:numCache>
            </c:numRef>
          </c:yVal>
          <c:smooth val="0"/>
          <c:extLst>
            <c:ext xmlns:c15="http://schemas.microsoft.com/office/drawing/2012/chart" uri="{02D57815-91ED-43cb-92C2-25804820EDAC}">
              <c15:datalabelsRange>
                <c15:f>'March 2023 Data'!$A$5</c15:f>
                <c15:dlblRangeCache>
                  <c:ptCount val="1"/>
                  <c:pt idx="0">
                    <c:v>Takakeisho</c:v>
                  </c:pt>
                </c15:dlblRangeCache>
              </c15:datalabelsRange>
            </c:ext>
            <c:ext xmlns:c16="http://schemas.microsoft.com/office/drawing/2014/chart" uri="{C3380CC4-5D6E-409C-BE32-E72D297353CC}">
              <c16:uniqueId val="{00000003-5B85-4AE0-8D30-117960B5E123}"/>
            </c:ext>
          </c:extLst>
        </c:ser>
        <c:ser>
          <c:idx val="2"/>
          <c:order val="2"/>
          <c:tx>
            <c:strRef>
              <c:f>'March 2023 Data'!$F$6</c:f>
              <c:strCache>
                <c:ptCount val="1"/>
                <c:pt idx="0">
                  <c:v>Sekiwake</c:v>
                </c:pt>
              </c:strCache>
            </c:strRef>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layout>
                <c:manualLayout>
                  <c:x val="-5.572868605823246E-2"/>
                  <c:y val="3.0303030303030228E-2"/>
                </c:manualLayout>
              </c:layout>
              <c:tx>
                <c:rich>
                  <a:bodyPr/>
                  <a:lstStyle/>
                  <a:p>
                    <a:fld id="{D4C9B6EF-25D8-4A0B-863F-3CFC20F4AA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B85-4AE0-8D30-117960B5E123}"/>
                </c:ext>
              </c:extLst>
            </c:dLbl>
            <c:dLbl>
              <c:idx val="1"/>
              <c:layout>
                <c:manualLayout>
                  <c:x val="-5.1329052948371978E-2"/>
                  <c:y val="-3.8383838383838381E-2"/>
                </c:manualLayout>
              </c:layout>
              <c:tx>
                <c:rich>
                  <a:bodyPr/>
                  <a:lstStyle/>
                  <a:p>
                    <a:fld id="{FB078BA8-6980-40D3-8F57-EDE23B7BDA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B85-4AE0-8D30-117960B5E123}"/>
                </c:ext>
              </c:extLst>
            </c:dLbl>
            <c:dLbl>
              <c:idx val="2"/>
              <c:layout>
                <c:manualLayout>
                  <c:x val="-9.6791928416930045E-2"/>
                  <c:y val="-4.0404040404041141E-3"/>
                </c:manualLayout>
              </c:layout>
              <c:tx>
                <c:rich>
                  <a:bodyPr/>
                  <a:lstStyle/>
                  <a:p>
                    <a:fld id="{6D2EE142-2420-472F-B035-1F7C3B1932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Data'!$J$6:$J$8</c:f>
              <c:numCache>
                <c:formatCode>General</c:formatCode>
                <c:ptCount val="3"/>
                <c:pt idx="0">
                  <c:v>132</c:v>
                </c:pt>
                <c:pt idx="1">
                  <c:v>141</c:v>
                </c:pt>
                <c:pt idx="2">
                  <c:v>140</c:v>
                </c:pt>
              </c:numCache>
            </c:numRef>
          </c:xVal>
          <c:yVal>
            <c:numRef>
              <c:f>'March 2023 Data'!$I$6:$I$8</c:f>
              <c:numCache>
                <c:formatCode>General</c:formatCode>
                <c:ptCount val="3"/>
                <c:pt idx="0">
                  <c:v>182</c:v>
                </c:pt>
                <c:pt idx="1">
                  <c:v>188</c:v>
                </c:pt>
                <c:pt idx="2">
                  <c:v>186</c:v>
                </c:pt>
              </c:numCache>
            </c:numRef>
          </c:yVal>
          <c:smooth val="0"/>
          <c:extLst>
            <c:ext xmlns:c15="http://schemas.microsoft.com/office/drawing/2012/chart" uri="{02D57815-91ED-43cb-92C2-25804820EDAC}">
              <c15:datalabelsRange>
                <c15:f>'March 2023 Data'!$A$6:$A$8</c15:f>
                <c15:dlblRangeCache>
                  <c:ptCount val="3"/>
                  <c:pt idx="0">
                    <c:v>Wakatakakage</c:v>
                  </c:pt>
                  <c:pt idx="1">
                    <c:v>Hoshoryu</c:v>
                  </c:pt>
                  <c:pt idx="2">
                    <c:v>Kiribayama</c:v>
                  </c:pt>
                </c15:dlblRangeCache>
              </c15:datalabelsRange>
            </c:ext>
            <c:ext xmlns:c16="http://schemas.microsoft.com/office/drawing/2014/chart" uri="{C3380CC4-5D6E-409C-BE32-E72D297353CC}">
              <c16:uniqueId val="{00000008-5B85-4AE0-8D30-117960B5E123}"/>
            </c:ext>
          </c:extLst>
        </c:ser>
        <c:ser>
          <c:idx val="3"/>
          <c:order val="3"/>
          <c:tx>
            <c:strRef>
              <c:f>'September 2022 Data'!$C$11</c:f>
              <c:strCache>
                <c:ptCount val="1"/>
                <c:pt idx="0">
                  <c:v>Komusubi</c:v>
                </c:pt>
              </c:strCache>
            </c:strRef>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layout>
                <c:manualLayout>
                  <c:x val="-7.9193395977488201E-2"/>
                  <c:y val="2.6262626262626262E-2"/>
                </c:manualLayout>
              </c:layout>
              <c:tx>
                <c:rich>
                  <a:bodyPr/>
                  <a:lstStyle/>
                  <a:p>
                    <a:fld id="{038CABB4-7551-40EB-99D5-064D6B2FDC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B85-4AE0-8D30-117960B5E123}"/>
                </c:ext>
              </c:extLst>
            </c:dLbl>
            <c:dLbl>
              <c:idx val="1"/>
              <c:layout>
                <c:manualLayout>
                  <c:x val="-1.4665443699534852E-2"/>
                  <c:y val="2.8282828282828285E-2"/>
                </c:manualLayout>
              </c:layout>
              <c:tx>
                <c:rich>
                  <a:bodyPr/>
                  <a:lstStyle/>
                  <a:p>
                    <a:fld id="{115BA1D4-C30E-4BBB-B39E-03417C60B6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B85-4AE0-8D30-117960B5E123}"/>
                </c:ext>
              </c:extLst>
            </c:dLbl>
            <c:dLbl>
              <c:idx val="2"/>
              <c:tx>
                <c:rich>
                  <a:bodyPr/>
                  <a:lstStyle/>
                  <a:p>
                    <a:fld id="{A104CF97-94E2-44F6-BF06-DCAB3760D0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B85-4AE0-8D30-117960B5E123}"/>
                </c:ext>
              </c:extLst>
            </c:dLbl>
            <c:dLbl>
              <c:idx val="3"/>
              <c:tx>
                <c:rich>
                  <a:bodyPr/>
                  <a:lstStyle/>
                  <a:p>
                    <a:fld id="{679B10FA-C1FE-4FAB-A9E9-D00D265C82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Data'!$J$9:$J$12</c:f>
              <c:numCache>
                <c:formatCode>General</c:formatCode>
                <c:ptCount val="4"/>
                <c:pt idx="0">
                  <c:v>172</c:v>
                </c:pt>
                <c:pt idx="1">
                  <c:v>143</c:v>
                </c:pt>
                <c:pt idx="2">
                  <c:v>165</c:v>
                </c:pt>
                <c:pt idx="3">
                  <c:v>133</c:v>
                </c:pt>
              </c:numCache>
            </c:numRef>
          </c:xVal>
          <c:yVal>
            <c:numRef>
              <c:f>'March 2023 Data'!$I$9:$I$12</c:f>
              <c:numCache>
                <c:formatCode>General</c:formatCode>
                <c:ptCount val="4"/>
                <c:pt idx="0">
                  <c:v>189</c:v>
                </c:pt>
                <c:pt idx="1">
                  <c:v>187</c:v>
                </c:pt>
                <c:pt idx="2">
                  <c:v>182</c:v>
                </c:pt>
                <c:pt idx="3">
                  <c:v>174</c:v>
                </c:pt>
              </c:numCache>
            </c:numRef>
          </c:yVal>
          <c:smooth val="0"/>
          <c:extLst>
            <c:ext xmlns:c15="http://schemas.microsoft.com/office/drawing/2012/chart" uri="{02D57815-91ED-43cb-92C2-25804820EDAC}">
              <c15:datalabelsRange>
                <c15:f>'March 2023 Data'!$A$9:$A$12</c15:f>
                <c15:dlblRangeCache>
                  <c:ptCount val="4"/>
                  <c:pt idx="0">
                    <c:v>Kotonowaka</c:v>
                  </c:pt>
                  <c:pt idx="1">
                    <c:v>Wakamotoharu</c:v>
                  </c:pt>
                  <c:pt idx="2">
                    <c:v>Daieisho</c:v>
                  </c:pt>
                  <c:pt idx="3">
                    <c:v>Tobizaru</c:v>
                  </c:pt>
                </c15:dlblRangeCache>
              </c15:datalabelsRange>
            </c:ext>
            <c:ext xmlns:c16="http://schemas.microsoft.com/office/drawing/2014/chart" uri="{C3380CC4-5D6E-409C-BE32-E72D297353CC}">
              <c16:uniqueId val="{0000000D-5B85-4AE0-8D30-117960B5E123}"/>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layout>
                <c:manualLayout>
                  <c:x val="4.3996331098604558E-3"/>
                  <c:y val="-1.0101010101010102E-2"/>
                </c:manualLayout>
              </c:layout>
              <c:tx>
                <c:rich>
                  <a:bodyPr/>
                  <a:lstStyle/>
                  <a:p>
                    <a:fld id="{1F810E87-DFD2-4C58-B6A0-BE57C3C6C6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B85-4AE0-8D30-117960B5E123}"/>
                </c:ext>
              </c:extLst>
            </c:dLbl>
            <c:dLbl>
              <c:idx val="1"/>
              <c:tx>
                <c:rich>
                  <a:bodyPr/>
                  <a:lstStyle/>
                  <a:p>
                    <a:fld id="{E55A6087-70C1-4275-8C1A-AC52440055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B85-4AE0-8D30-117960B5E123}"/>
                </c:ext>
              </c:extLst>
            </c:dLbl>
            <c:dLbl>
              <c:idx val="2"/>
              <c:tx>
                <c:rich>
                  <a:bodyPr/>
                  <a:lstStyle/>
                  <a:p>
                    <a:fld id="{9DFD31CA-2CBB-4E83-831F-E3E1D8590A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B85-4AE0-8D30-117960B5E123}"/>
                </c:ext>
              </c:extLst>
            </c:dLbl>
            <c:dLbl>
              <c:idx val="3"/>
              <c:layout>
                <c:manualLayout>
                  <c:x val="-5.4262141688278948E-2"/>
                  <c:y val="2.0202020202020204E-2"/>
                </c:manualLayout>
              </c:layout>
              <c:tx>
                <c:rich>
                  <a:bodyPr/>
                  <a:lstStyle/>
                  <a:p>
                    <a:fld id="{73EAAFE9-A00C-438D-A1D1-AD51A56D27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B85-4AE0-8D30-117960B5E123}"/>
                </c:ext>
              </c:extLst>
            </c:dLbl>
            <c:dLbl>
              <c:idx val="4"/>
              <c:tx>
                <c:rich>
                  <a:bodyPr/>
                  <a:lstStyle/>
                  <a:p>
                    <a:fld id="{4B6301D5-40DD-4B19-97A7-22393F366E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B85-4AE0-8D30-117960B5E123}"/>
                </c:ext>
              </c:extLst>
            </c:dLbl>
            <c:dLbl>
              <c:idx val="5"/>
              <c:tx>
                <c:rich>
                  <a:bodyPr/>
                  <a:lstStyle/>
                  <a:p>
                    <a:fld id="{9CD33EDD-A817-4B34-8A0F-132713B3EB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B85-4AE0-8D30-117960B5E123}"/>
                </c:ext>
              </c:extLst>
            </c:dLbl>
            <c:dLbl>
              <c:idx val="6"/>
              <c:tx>
                <c:rich>
                  <a:bodyPr/>
                  <a:lstStyle/>
                  <a:p>
                    <a:fld id="{8F710A6D-24B8-40C2-A2CA-21F78320BB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B85-4AE0-8D30-117960B5E123}"/>
                </c:ext>
              </c:extLst>
            </c:dLbl>
            <c:dLbl>
              <c:idx val="7"/>
              <c:tx>
                <c:rich>
                  <a:bodyPr/>
                  <a:lstStyle/>
                  <a:p>
                    <a:fld id="{C70D928F-11A3-4C34-A815-95241E3473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Data'!$J$13:$J$20</c:f>
              <c:numCache>
                <c:formatCode>General</c:formatCode>
                <c:ptCount val="8"/>
                <c:pt idx="0">
                  <c:v>160</c:v>
                </c:pt>
                <c:pt idx="1">
                  <c:v>174</c:v>
                </c:pt>
                <c:pt idx="2">
                  <c:v>156</c:v>
                </c:pt>
                <c:pt idx="3">
                  <c:v>154</c:v>
                </c:pt>
                <c:pt idx="4">
                  <c:v>170</c:v>
                </c:pt>
                <c:pt idx="5">
                  <c:v>176</c:v>
                </c:pt>
                <c:pt idx="6">
                  <c:v>154</c:v>
                </c:pt>
                <c:pt idx="7">
                  <c:v>164</c:v>
                </c:pt>
              </c:numCache>
            </c:numRef>
          </c:xVal>
          <c:yVal>
            <c:numRef>
              <c:f>'March 2023 Data'!$I$13:$I$20</c:f>
              <c:numCache>
                <c:formatCode>General</c:formatCode>
                <c:ptCount val="8"/>
                <c:pt idx="0">
                  <c:v>184</c:v>
                </c:pt>
                <c:pt idx="1">
                  <c:v>189</c:v>
                </c:pt>
                <c:pt idx="2">
                  <c:v>186</c:v>
                </c:pt>
                <c:pt idx="3">
                  <c:v>188</c:v>
                </c:pt>
                <c:pt idx="4">
                  <c:v>179</c:v>
                </c:pt>
                <c:pt idx="5">
                  <c:v>185</c:v>
                </c:pt>
                <c:pt idx="6">
                  <c:v>180</c:v>
                </c:pt>
                <c:pt idx="7">
                  <c:v>177</c:v>
                </c:pt>
              </c:numCache>
            </c:numRef>
          </c:yVal>
          <c:smooth val="0"/>
          <c:extLst>
            <c:ext xmlns:c15="http://schemas.microsoft.com/office/drawing/2012/chart" uri="{02D57815-91ED-43cb-92C2-25804820EDAC}">
              <c15:datalabelsRange>
                <c15:f>'March 2023 Data'!$A$13:$A$20</c15:f>
                <c15:dlblRangeCache>
                  <c:ptCount val="8"/>
                  <c:pt idx="0">
                    <c:v>Shodai</c:v>
                  </c:pt>
                  <c:pt idx="1">
                    <c:v>Tamawashi</c:v>
                  </c:pt>
                  <c:pt idx="2">
                    <c:v>Abi</c:v>
                  </c:pt>
                  <c:pt idx="3">
                    <c:v>Ryuden</c:v>
                  </c:pt>
                  <c:pt idx="4">
                    <c:v>Mitakeumi</c:v>
                  </c:pt>
                  <c:pt idx="5">
                    <c:v>Nishikigi</c:v>
                  </c:pt>
                  <c:pt idx="6">
                    <c:v>Meisei</c:v>
                  </c:pt>
                  <c:pt idx="7">
                    <c:v>Onosho</c:v>
                  </c:pt>
                </c15:dlblRangeCache>
              </c15:datalabelsRange>
            </c:ext>
            <c:ext xmlns:c16="http://schemas.microsoft.com/office/drawing/2014/chart" uri="{C3380CC4-5D6E-409C-BE32-E72D297353CC}">
              <c16:uniqueId val="{00000016-5B85-4AE0-8D30-117960B5E123}"/>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6186F356-0385-4F8E-B57F-3B84A47CB5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B85-4AE0-8D30-117960B5E123}"/>
                </c:ext>
              </c:extLst>
            </c:dLbl>
            <c:dLbl>
              <c:idx val="1"/>
              <c:tx>
                <c:rich>
                  <a:bodyPr/>
                  <a:lstStyle/>
                  <a:p>
                    <a:fld id="{F9F3BCB2-9FB5-46A7-A370-4444D361A2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B85-4AE0-8D30-117960B5E123}"/>
                </c:ext>
              </c:extLst>
            </c:dLbl>
            <c:dLbl>
              <c:idx val="2"/>
              <c:tx>
                <c:rich>
                  <a:bodyPr/>
                  <a:lstStyle/>
                  <a:p>
                    <a:fld id="{EDF958EA-F81F-4419-8EA2-A9DFB91477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B85-4AE0-8D30-117960B5E123}"/>
                </c:ext>
              </c:extLst>
            </c:dLbl>
            <c:dLbl>
              <c:idx val="3"/>
              <c:layout>
                <c:manualLayout>
                  <c:x val="1.0265810589674396E-2"/>
                  <c:y val="-4.0404040404041141E-3"/>
                </c:manualLayout>
              </c:layout>
              <c:tx>
                <c:rich>
                  <a:bodyPr/>
                  <a:lstStyle/>
                  <a:p>
                    <a:fld id="{6D9FD1C4-29F7-4FDB-A858-87570C30E9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B85-4AE0-8D30-117960B5E123}"/>
                </c:ext>
              </c:extLst>
            </c:dLbl>
            <c:dLbl>
              <c:idx val="4"/>
              <c:tx>
                <c:rich>
                  <a:bodyPr/>
                  <a:lstStyle/>
                  <a:p>
                    <a:fld id="{B22BEAE8-5004-4F03-8D7C-30DFE7918C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B85-4AE0-8D30-117960B5E123}"/>
                </c:ext>
              </c:extLst>
            </c:dLbl>
            <c:dLbl>
              <c:idx val="5"/>
              <c:layout>
                <c:manualLayout>
                  <c:x val="-3.3730520508930155E-2"/>
                  <c:y val="3.0303030303030228E-2"/>
                </c:manualLayout>
              </c:layout>
              <c:tx>
                <c:rich>
                  <a:bodyPr/>
                  <a:lstStyle/>
                  <a:p>
                    <a:fld id="{62F28724-B9E8-4C9A-BF96-4F226EF660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5B85-4AE0-8D30-117960B5E123}"/>
                </c:ext>
              </c:extLst>
            </c:dLbl>
            <c:dLbl>
              <c:idx val="6"/>
              <c:tx>
                <c:rich>
                  <a:bodyPr/>
                  <a:lstStyle/>
                  <a:p>
                    <a:fld id="{43F51B4A-9320-4658-8A1B-394A23DD7C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B85-4AE0-8D30-117960B5E123}"/>
                </c:ext>
              </c:extLst>
            </c:dLbl>
            <c:dLbl>
              <c:idx val="7"/>
              <c:layout>
                <c:manualLayout>
                  <c:x val="-2.0531621179348793E-2"/>
                  <c:y val="-4.0404040404040407E-2"/>
                </c:manualLayout>
              </c:layout>
              <c:tx>
                <c:rich>
                  <a:bodyPr/>
                  <a:lstStyle/>
                  <a:p>
                    <a:fld id="{3A7B5554-EEEB-476A-AFD0-3A1271314C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Data'!$J$21:$J$28</c:f>
              <c:numCache>
                <c:formatCode>General</c:formatCode>
                <c:ptCount val="8"/>
                <c:pt idx="0">
                  <c:v>117</c:v>
                </c:pt>
                <c:pt idx="1">
                  <c:v>163</c:v>
                </c:pt>
                <c:pt idx="2">
                  <c:v>142</c:v>
                </c:pt>
                <c:pt idx="3">
                  <c:v>150</c:v>
                </c:pt>
                <c:pt idx="4">
                  <c:v>177</c:v>
                </c:pt>
                <c:pt idx="5">
                  <c:v>159</c:v>
                </c:pt>
                <c:pt idx="6">
                  <c:v>146</c:v>
                </c:pt>
                <c:pt idx="7">
                  <c:v>146</c:v>
                </c:pt>
              </c:numCache>
            </c:numRef>
          </c:xVal>
          <c:yVal>
            <c:numRef>
              <c:f>'March 2023 Data'!$I$21:$I$28</c:f>
              <c:numCache>
                <c:formatCode>General</c:formatCode>
                <c:ptCount val="8"/>
                <c:pt idx="0">
                  <c:v>171</c:v>
                </c:pt>
                <c:pt idx="1">
                  <c:v>191</c:v>
                </c:pt>
                <c:pt idx="2">
                  <c:v>182</c:v>
                </c:pt>
                <c:pt idx="3">
                  <c:v>184</c:v>
                </c:pt>
                <c:pt idx="4">
                  <c:v>188</c:v>
                </c:pt>
                <c:pt idx="5">
                  <c:v>184</c:v>
                </c:pt>
                <c:pt idx="6">
                  <c:v>175</c:v>
                </c:pt>
                <c:pt idx="7">
                  <c:v>187</c:v>
                </c:pt>
              </c:numCache>
            </c:numRef>
          </c:yVal>
          <c:smooth val="0"/>
          <c:extLst>
            <c:ext xmlns:c15="http://schemas.microsoft.com/office/drawing/2012/chart" uri="{02D57815-91ED-43cb-92C2-25804820EDAC}">
              <c15:datalabelsRange>
                <c15:f>'March 2023 Data'!$A$21:$A$28</c15:f>
                <c15:dlblRangeCache>
                  <c:ptCount val="8"/>
                  <c:pt idx="0">
                    <c:v>Midorifuji</c:v>
                  </c:pt>
                  <c:pt idx="1">
                    <c:v>Kotoshoho</c:v>
                  </c:pt>
                  <c:pt idx="2">
                    <c:v>Sadanoumi</c:v>
                  </c:pt>
                  <c:pt idx="3">
                    <c:v>Endo</c:v>
                  </c:pt>
                  <c:pt idx="4">
                    <c:v>Takayasu</c:v>
                  </c:pt>
                  <c:pt idx="5">
                    <c:v>Hokutofuji</c:v>
                  </c:pt>
                  <c:pt idx="6">
                    <c:v>Ura</c:v>
                  </c:pt>
                  <c:pt idx="7">
                    <c:v>Ichiyamamoto</c:v>
                  </c:pt>
                </c15:dlblRangeCache>
              </c15:datalabelsRange>
            </c:ext>
            <c:ext xmlns:c16="http://schemas.microsoft.com/office/drawing/2014/chart" uri="{C3380CC4-5D6E-409C-BE32-E72D297353CC}">
              <c16:uniqueId val="{0000001F-5B85-4AE0-8D30-117960B5E123}"/>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F72C7196-A44A-402F-ADB3-8DDEA633B7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B85-4AE0-8D30-117960B5E123}"/>
                </c:ext>
              </c:extLst>
            </c:dLbl>
            <c:dLbl>
              <c:idx val="1"/>
              <c:tx>
                <c:rich>
                  <a:bodyPr/>
                  <a:lstStyle/>
                  <a:p>
                    <a:fld id="{6A602FAC-6944-425C-9CE1-250744E414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B85-4AE0-8D30-117960B5E123}"/>
                </c:ext>
              </c:extLst>
            </c:dLbl>
            <c:dLbl>
              <c:idx val="2"/>
              <c:layout>
                <c:manualLayout>
                  <c:x val="-4.252978672865107E-2"/>
                  <c:y val="1.4141414141414068E-2"/>
                </c:manualLayout>
              </c:layout>
              <c:tx>
                <c:rich>
                  <a:bodyPr/>
                  <a:lstStyle/>
                  <a:p>
                    <a:fld id="{310EA8F3-EC88-477F-9548-375C785AFC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B85-4AE0-8D30-117960B5E123}"/>
                </c:ext>
              </c:extLst>
            </c:dLbl>
            <c:dLbl>
              <c:idx val="3"/>
              <c:layout>
                <c:manualLayout>
                  <c:x val="-1.4665443699535389E-3"/>
                  <c:y val="-2.0202020202020204E-2"/>
                </c:manualLayout>
              </c:layout>
              <c:tx>
                <c:rich>
                  <a:bodyPr/>
                  <a:lstStyle/>
                  <a:p>
                    <a:fld id="{3AEA3977-A78E-488E-ABB8-432EC56B9C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B85-4AE0-8D30-117960B5E123}"/>
                </c:ext>
              </c:extLst>
            </c:dLbl>
            <c:dLbl>
              <c:idx val="4"/>
              <c:tx>
                <c:rich>
                  <a:bodyPr/>
                  <a:lstStyle/>
                  <a:p>
                    <a:fld id="{6C8A77BF-756F-42D9-A5F5-A3DAB61259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B85-4AE0-8D30-117960B5E123}"/>
                </c:ext>
              </c:extLst>
            </c:dLbl>
            <c:dLbl>
              <c:idx val="5"/>
              <c:tx>
                <c:rich>
                  <a:bodyPr/>
                  <a:lstStyle/>
                  <a:p>
                    <a:fld id="{86FC68D5-DC88-42F3-81C8-7D618B5C2A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B85-4AE0-8D30-117960B5E123}"/>
                </c:ext>
              </c:extLst>
            </c:dLbl>
            <c:dLbl>
              <c:idx val="6"/>
              <c:tx>
                <c:rich>
                  <a:bodyPr/>
                  <a:lstStyle/>
                  <a:p>
                    <a:fld id="{86B49A98-D17D-4AB4-A94B-6E9BCAC0F8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B85-4AE0-8D30-117960B5E123}"/>
                </c:ext>
              </c:extLst>
            </c:dLbl>
            <c:dLbl>
              <c:idx val="7"/>
              <c:tx>
                <c:rich>
                  <a:bodyPr/>
                  <a:lstStyle/>
                  <a:p>
                    <a:fld id="{675C618C-B17D-4DE8-A979-9ACA0963EE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Data'!$J$29:$J$36</c:f>
              <c:numCache>
                <c:formatCode>General</c:formatCode>
                <c:ptCount val="8"/>
                <c:pt idx="0">
                  <c:v>189</c:v>
                </c:pt>
                <c:pt idx="1">
                  <c:v>135</c:v>
                </c:pt>
                <c:pt idx="2">
                  <c:v>150</c:v>
                </c:pt>
                <c:pt idx="3">
                  <c:v>156</c:v>
                </c:pt>
                <c:pt idx="4">
                  <c:v>165</c:v>
                </c:pt>
                <c:pt idx="5">
                  <c:v>159</c:v>
                </c:pt>
                <c:pt idx="6">
                  <c:v>156</c:v>
                </c:pt>
                <c:pt idx="7">
                  <c:v>171</c:v>
                </c:pt>
              </c:numCache>
            </c:numRef>
          </c:xVal>
          <c:yVal>
            <c:numRef>
              <c:f>'March 2023 Data'!$I$29:$I$36</c:f>
              <c:numCache>
                <c:formatCode>General</c:formatCode>
                <c:ptCount val="8"/>
                <c:pt idx="0">
                  <c:v>191</c:v>
                </c:pt>
                <c:pt idx="1">
                  <c:v>177</c:v>
                </c:pt>
                <c:pt idx="2">
                  <c:v>184</c:v>
                </c:pt>
                <c:pt idx="3">
                  <c:v>188</c:v>
                </c:pt>
                <c:pt idx="4">
                  <c:v>183</c:v>
                </c:pt>
                <c:pt idx="5">
                  <c:v>192</c:v>
                </c:pt>
                <c:pt idx="6">
                  <c:v>193</c:v>
                </c:pt>
                <c:pt idx="7">
                  <c:v>186</c:v>
                </c:pt>
              </c:numCache>
            </c:numRef>
          </c:yVal>
          <c:smooth val="0"/>
          <c:extLst>
            <c:ext xmlns:c15="http://schemas.microsoft.com/office/drawing/2012/chart" uri="{02D57815-91ED-43cb-92C2-25804820EDAC}">
              <c15:datalabelsRange>
                <c15:f>'March 2023 Data'!$A$29:$A$36</c15:f>
                <c15:dlblRangeCache>
                  <c:ptCount val="8"/>
                  <c:pt idx="0">
                    <c:v>Aoiyama</c:v>
                  </c:pt>
                  <c:pt idx="1">
                    <c:v>Hiradoumi</c:v>
                  </c:pt>
                  <c:pt idx="2">
                    <c:v>Nishikifuji</c:v>
                  </c:pt>
                  <c:pt idx="3">
                    <c:v>Myogiryu</c:v>
                  </c:pt>
                  <c:pt idx="4">
                    <c:v>Takanosho</c:v>
                  </c:pt>
                  <c:pt idx="5">
                    <c:v>Azumaryu</c:v>
                  </c:pt>
                  <c:pt idx="6">
                    <c:v>Kagayaki</c:v>
                  </c:pt>
                  <c:pt idx="7">
                    <c:v>Takarafuji</c:v>
                  </c:pt>
                </c15:dlblRangeCache>
              </c15:datalabelsRange>
            </c:ext>
            <c:ext xmlns:c16="http://schemas.microsoft.com/office/drawing/2014/chart" uri="{C3380CC4-5D6E-409C-BE32-E72D297353CC}">
              <c16:uniqueId val="{00000028-5B85-4AE0-8D30-117960B5E123}"/>
            </c:ext>
          </c:extLst>
        </c:ser>
        <c:ser>
          <c:idx val="7"/>
          <c:order val="7"/>
          <c:tx>
            <c:v>M13-17</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tx>
                <c:rich>
                  <a:bodyPr/>
                  <a:lstStyle/>
                  <a:p>
                    <a:fld id="{FE64B82E-38B8-4C07-95F0-01F21F52CF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5B85-4AE0-8D30-117960B5E123}"/>
                </c:ext>
              </c:extLst>
            </c:dLbl>
            <c:dLbl>
              <c:idx val="1"/>
              <c:tx>
                <c:rich>
                  <a:bodyPr/>
                  <a:lstStyle/>
                  <a:p>
                    <a:fld id="{43FC08FD-D451-400A-BE04-D0713D25BF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5B85-4AE0-8D30-117960B5E123}"/>
                </c:ext>
              </c:extLst>
            </c:dLbl>
            <c:dLbl>
              <c:idx val="2"/>
              <c:layout>
                <c:manualLayout>
                  <c:x val="-4.3996331098604555E-2"/>
                  <c:y val="-2.6262626262626262E-2"/>
                </c:manualLayout>
              </c:layout>
              <c:tx>
                <c:rich>
                  <a:bodyPr/>
                  <a:lstStyle/>
                  <a:p>
                    <a:fld id="{7FDDE270-0397-4DD1-BEE9-F605571E64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5B85-4AE0-8D30-117960B5E123}"/>
                </c:ext>
              </c:extLst>
            </c:dLbl>
            <c:dLbl>
              <c:idx val="3"/>
              <c:tx>
                <c:rich>
                  <a:bodyPr/>
                  <a:lstStyle/>
                  <a:p>
                    <a:fld id="{E6ECB1C6-84C5-4CB6-9261-7B440C07F9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5B85-4AE0-8D30-117960B5E123}"/>
                </c:ext>
              </c:extLst>
            </c:dLbl>
            <c:dLbl>
              <c:idx val="4"/>
              <c:tx>
                <c:rich>
                  <a:bodyPr/>
                  <a:lstStyle/>
                  <a:p>
                    <a:fld id="{6156B5BA-444C-455A-B16D-2F71DF0D22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5B85-4AE0-8D30-117960B5E123}"/>
                </c:ext>
              </c:extLst>
            </c:dLbl>
            <c:dLbl>
              <c:idx val="5"/>
              <c:tx>
                <c:rich>
                  <a:bodyPr/>
                  <a:lstStyle/>
                  <a:p>
                    <a:fld id="{D74D0E42-6F5C-4BE8-B238-9D00A0278A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5B85-4AE0-8D30-117960B5E123}"/>
                </c:ext>
              </c:extLst>
            </c:dLbl>
            <c:dLbl>
              <c:idx val="6"/>
              <c:tx>
                <c:rich>
                  <a:bodyPr/>
                  <a:lstStyle/>
                  <a:p>
                    <a:fld id="{C2E89D81-86CC-4B96-970F-44EA645307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5B85-4AE0-8D30-117960B5E123}"/>
                </c:ext>
              </c:extLst>
            </c:dLbl>
            <c:dLbl>
              <c:idx val="7"/>
              <c:tx>
                <c:rich>
                  <a:bodyPr/>
                  <a:lstStyle/>
                  <a:p>
                    <a:fld id="{081CD095-9B71-441D-8B03-D72DED6F88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5B85-4AE0-8D30-117960B5E123}"/>
                </c:ext>
              </c:extLst>
            </c:dLbl>
            <c:dLbl>
              <c:idx val="8"/>
              <c:tx>
                <c:rich>
                  <a:bodyPr/>
                  <a:lstStyle/>
                  <a:p>
                    <a:fld id="{8C38753D-0D8D-4198-9DE2-6FA233FDC7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Data'!$J$37:$J$45</c:f>
              <c:numCache>
                <c:formatCode>General</c:formatCode>
                <c:ptCount val="9"/>
                <c:pt idx="0">
                  <c:v>129</c:v>
                </c:pt>
                <c:pt idx="1">
                  <c:v>189</c:v>
                </c:pt>
                <c:pt idx="2">
                  <c:v>174</c:v>
                </c:pt>
                <c:pt idx="3">
                  <c:v>171</c:v>
                </c:pt>
                <c:pt idx="4">
                  <c:v>178</c:v>
                </c:pt>
                <c:pt idx="5">
                  <c:v>177</c:v>
                </c:pt>
                <c:pt idx="6">
                  <c:v>137</c:v>
                </c:pt>
                <c:pt idx="7">
                  <c:v>200</c:v>
                </c:pt>
                <c:pt idx="8">
                  <c:v>194</c:v>
                </c:pt>
              </c:numCache>
            </c:numRef>
          </c:xVal>
          <c:yVal>
            <c:numRef>
              <c:f>'March 2023 Data'!$I$37:$I$45</c:f>
              <c:numCache>
                <c:formatCode>General</c:formatCode>
                <c:ptCount val="9"/>
                <c:pt idx="0">
                  <c:v>176</c:v>
                </c:pt>
                <c:pt idx="1">
                  <c:v>185</c:v>
                </c:pt>
                <c:pt idx="2">
                  <c:v>192</c:v>
                </c:pt>
                <c:pt idx="3">
                  <c:v>171</c:v>
                </c:pt>
                <c:pt idx="4">
                  <c:v>190</c:v>
                </c:pt>
                <c:pt idx="5">
                  <c:v>204</c:v>
                </c:pt>
                <c:pt idx="6">
                  <c:v>184</c:v>
                </c:pt>
                <c:pt idx="7">
                  <c:v>185</c:v>
                </c:pt>
                <c:pt idx="8">
                  <c:v>189</c:v>
                </c:pt>
              </c:numCache>
            </c:numRef>
          </c:yVal>
          <c:smooth val="0"/>
          <c:extLst>
            <c:ext xmlns:c15="http://schemas.microsoft.com/office/drawing/2012/chart" uri="{02D57815-91ED-43cb-92C2-25804820EDAC}">
              <c15:datalabelsRange>
                <c15:f>'March 2023 Data'!$A$37:$A$45</c15:f>
                <c15:dlblRangeCache>
                  <c:ptCount val="9"/>
                  <c:pt idx="0">
                    <c:v>Kotoeko</c:v>
                  </c:pt>
                  <c:pt idx="1">
                    <c:v>Daishoho</c:v>
                  </c:pt>
                  <c:pt idx="2">
                    <c:v>Kinbozan</c:v>
                  </c:pt>
                  <c:pt idx="3">
                    <c:v>Bushozan</c:v>
                  </c:pt>
                  <c:pt idx="4">
                    <c:v>Oho</c:v>
                  </c:pt>
                  <c:pt idx="5">
                    <c:v>Hokuseiho</c:v>
                  </c:pt>
                  <c:pt idx="6">
                    <c:v>Chiyoshoma</c:v>
                  </c:pt>
                  <c:pt idx="7">
                    <c:v>Tsurugisho</c:v>
                  </c:pt>
                  <c:pt idx="8">
                    <c:v>Mitoryu</c:v>
                  </c:pt>
                </c15:dlblRangeCache>
              </c15:datalabelsRange>
            </c:ext>
            <c:ext xmlns:c16="http://schemas.microsoft.com/office/drawing/2014/chart" uri="{C3380CC4-5D6E-409C-BE32-E72D297353CC}">
              <c16:uniqueId val="{00000031-5B85-4AE0-8D30-117960B5E123}"/>
            </c:ext>
          </c:extLst>
        </c:ser>
        <c:dLbls>
          <c:showLegendKey val="0"/>
          <c:showVal val="0"/>
          <c:showCatName val="0"/>
          <c:showSerName val="0"/>
          <c:showPercent val="0"/>
          <c:showBubbleSize val="0"/>
        </c:dLbls>
        <c:axId val="745971600"/>
        <c:axId val="745971928"/>
      </c:scatterChart>
      <c:valAx>
        <c:axId val="745971600"/>
        <c:scaling>
          <c:orientation val="minMax"/>
          <c:max val="21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May 2023 Makuuchi Wrestlers </a:t>
            </a:r>
          </a:p>
        </c:rich>
      </c:tx>
      <c:layout>
        <c:manualLayout>
          <c:xMode val="edge"/>
          <c:yMode val="edge"/>
          <c:x val="0.30492390540072861"/>
          <c:y val="1.61616161616161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855586604468249E-2"/>
          <c:y val="7.8989421776823346E-2"/>
          <c:w val="0.81188907136193378"/>
          <c:h val="0.85594431898299383"/>
        </c:manualLayout>
      </c:layout>
      <c:scatterChart>
        <c:scatterStyle val="lineMarker"/>
        <c:varyColors val="0"/>
        <c:ser>
          <c:idx val="0"/>
          <c:order val="0"/>
          <c:tx>
            <c:v>Yokozuna</c:v>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1.9065076809395308E-2"/>
                  <c:y val="-4.4444444444444446E-2"/>
                </c:manualLayout>
              </c:layout>
              <c:tx>
                <c:rich>
                  <a:bodyPr/>
                  <a:lstStyle/>
                  <a:p>
                    <a:fld id="{8C482BB2-19C3-4FF8-A0B7-12C7C9FE45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Data'!$K$4</c:f>
              <c:numCache>
                <c:formatCode>General</c:formatCode>
                <c:ptCount val="1"/>
                <c:pt idx="0">
                  <c:v>174</c:v>
                </c:pt>
              </c:numCache>
            </c:numRef>
          </c:xVal>
          <c:yVal>
            <c:numRef>
              <c:f>'May 2023 Data'!$J$4</c:f>
              <c:numCache>
                <c:formatCode>General</c:formatCode>
                <c:ptCount val="1"/>
                <c:pt idx="0">
                  <c:v>192</c:v>
                </c:pt>
              </c:numCache>
            </c:numRef>
          </c:yVal>
          <c:smooth val="0"/>
          <c:extLst>
            <c:ext xmlns:c15="http://schemas.microsoft.com/office/drawing/2012/chart" uri="{02D57815-91ED-43cb-92C2-25804820EDAC}">
              <c15:datalabelsRange>
                <c15:f>'May 2023 Data'!$A$4</c15:f>
                <c15:dlblRangeCache>
                  <c:ptCount val="1"/>
                  <c:pt idx="0">
                    <c:v>Terunofuji</c:v>
                  </c:pt>
                </c15:dlblRangeCache>
              </c15:datalabelsRange>
            </c:ext>
            <c:ext xmlns:c16="http://schemas.microsoft.com/office/drawing/2014/chart" uri="{C3380CC4-5D6E-409C-BE32-E72D297353CC}">
              <c16:uniqueId val="{00000001-6A53-4CC9-BC04-CCB30645214F}"/>
            </c:ext>
          </c:extLst>
        </c:ser>
        <c:ser>
          <c:idx val="1"/>
          <c:order val="1"/>
          <c:tx>
            <c:v>Ozeki</c:v>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FB88C12B-2055-43F4-8368-CA1ED20FE0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Data'!$K$5</c:f>
              <c:numCache>
                <c:formatCode>General</c:formatCode>
                <c:ptCount val="1"/>
                <c:pt idx="0">
                  <c:v>165</c:v>
                </c:pt>
              </c:numCache>
            </c:numRef>
          </c:xVal>
          <c:yVal>
            <c:numRef>
              <c:f>'May 2023 Data'!$J$5</c:f>
              <c:numCache>
                <c:formatCode>General</c:formatCode>
                <c:ptCount val="1"/>
                <c:pt idx="0">
                  <c:v>175</c:v>
                </c:pt>
              </c:numCache>
            </c:numRef>
          </c:yVal>
          <c:smooth val="0"/>
          <c:extLst>
            <c:ext xmlns:c15="http://schemas.microsoft.com/office/drawing/2012/chart" uri="{02D57815-91ED-43cb-92C2-25804820EDAC}">
              <c15:datalabelsRange>
                <c15:f>'May 2023 Data'!$A$5</c15:f>
                <c15:dlblRangeCache>
                  <c:ptCount val="1"/>
                  <c:pt idx="0">
                    <c:v>Takakeisho</c:v>
                  </c:pt>
                </c15:dlblRangeCache>
              </c15:datalabelsRange>
            </c:ext>
            <c:ext xmlns:c16="http://schemas.microsoft.com/office/drawing/2014/chart" uri="{C3380CC4-5D6E-409C-BE32-E72D297353CC}">
              <c16:uniqueId val="{00000003-6A53-4CC9-BC04-CCB30645214F}"/>
            </c:ext>
          </c:extLst>
        </c:ser>
        <c:ser>
          <c:idx val="2"/>
          <c:order val="2"/>
          <c:tx>
            <c:v>Sekiwake</c:v>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layout>
                <c:manualLayout>
                  <c:x val="-8.7992662197209654E-3"/>
                  <c:y val="-2.2222222222222223E-2"/>
                </c:manualLayout>
              </c:layout>
              <c:tx>
                <c:rich>
                  <a:bodyPr/>
                  <a:lstStyle/>
                  <a:p>
                    <a:fld id="{BA03CBB6-A069-4124-A4F9-655F64EA68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A53-4CC9-BC04-CCB30645214F}"/>
                </c:ext>
              </c:extLst>
            </c:dLbl>
            <c:dLbl>
              <c:idx val="1"/>
              <c:tx>
                <c:rich>
                  <a:bodyPr/>
                  <a:lstStyle/>
                  <a:p>
                    <a:fld id="{49641E4F-9259-41AA-BDA7-B562ACE438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A53-4CC9-BC04-CCB30645214F}"/>
                </c:ext>
              </c:extLst>
            </c:dLbl>
            <c:dLbl>
              <c:idx val="2"/>
              <c:tx>
                <c:rich>
                  <a:bodyPr/>
                  <a:lstStyle/>
                  <a:p>
                    <a:fld id="{ECC85418-4E58-4017-BC99-580F83A428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A53-4CC9-BC04-CCB30645214F}"/>
                </c:ext>
              </c:extLst>
            </c:dLbl>
            <c:dLbl>
              <c:idx val="3"/>
              <c:tx>
                <c:rich>
                  <a:bodyPr/>
                  <a:lstStyle/>
                  <a:p>
                    <a:fld id="{C47D1C1A-F8F8-424D-BCC2-D6D4C0D578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Data'!$K$6:$K$9</c:f>
              <c:numCache>
                <c:formatCode>General</c:formatCode>
                <c:ptCount val="4"/>
                <c:pt idx="0">
                  <c:v>142</c:v>
                </c:pt>
                <c:pt idx="1">
                  <c:v>143</c:v>
                </c:pt>
                <c:pt idx="2">
                  <c:v>147</c:v>
                </c:pt>
                <c:pt idx="3">
                  <c:v>164</c:v>
                </c:pt>
              </c:numCache>
            </c:numRef>
          </c:xVal>
          <c:yVal>
            <c:numRef>
              <c:f>'May 2023 Data'!$J$6:$J$9</c:f>
              <c:numCache>
                <c:formatCode>General</c:formatCode>
                <c:ptCount val="4"/>
                <c:pt idx="0">
                  <c:v>188</c:v>
                </c:pt>
                <c:pt idx="1">
                  <c:v>186</c:v>
                </c:pt>
                <c:pt idx="2">
                  <c:v>187</c:v>
                </c:pt>
                <c:pt idx="3">
                  <c:v>182</c:v>
                </c:pt>
              </c:numCache>
            </c:numRef>
          </c:yVal>
          <c:smooth val="0"/>
          <c:extLst>
            <c:ext xmlns:c15="http://schemas.microsoft.com/office/drawing/2012/chart" uri="{02D57815-91ED-43cb-92C2-25804820EDAC}">
              <c15:datalabelsRange>
                <c15:f>'May 2023 Data'!$A$6:$A$9</c15:f>
                <c15:dlblRangeCache>
                  <c:ptCount val="4"/>
                  <c:pt idx="0">
                    <c:v>Hoshoryu</c:v>
                  </c:pt>
                  <c:pt idx="1">
                    <c:v>Kiribayama</c:v>
                  </c:pt>
                  <c:pt idx="2">
                    <c:v>Wakamotoharu</c:v>
                  </c:pt>
                  <c:pt idx="3">
                    <c:v>Daieisho</c:v>
                  </c:pt>
                </c15:dlblRangeCache>
              </c15:datalabelsRange>
            </c:ext>
            <c:ext xmlns:c16="http://schemas.microsoft.com/office/drawing/2014/chart" uri="{C3380CC4-5D6E-409C-BE32-E72D297353CC}">
              <c16:uniqueId val="{00000007-6A53-4CC9-BC04-CCB30645214F}"/>
            </c:ext>
          </c:extLst>
        </c:ser>
        <c:ser>
          <c:idx val="3"/>
          <c:order val="3"/>
          <c:tx>
            <c:v>Komusubi</c:v>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tx>
                <c:rich>
                  <a:bodyPr/>
                  <a:lstStyle/>
                  <a:p>
                    <a:fld id="{89B6BFD9-A913-434F-BB09-10BACEDFEB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A53-4CC9-BC04-CCB30645214F}"/>
                </c:ext>
              </c:extLst>
            </c:dLbl>
            <c:dLbl>
              <c:idx val="1"/>
              <c:tx>
                <c:rich>
                  <a:bodyPr/>
                  <a:lstStyle/>
                  <a:p>
                    <a:fld id="{9422437F-A1FA-48E7-AD21-42C9D1E2C6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A53-4CC9-BC04-CCB30645214F}"/>
                </c:ext>
              </c:extLst>
            </c:dLbl>
            <c:dLbl>
              <c:idx val="2"/>
              <c:tx>
                <c:rich>
                  <a:bodyPr/>
                  <a:lstStyle/>
                  <a:p>
                    <a:fld id="{635A0F98-AFD4-49E0-9DB9-314D6EAE4D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Data'!$K$10:$K$12</c:f>
              <c:numCache>
                <c:formatCode>General</c:formatCode>
                <c:ptCount val="3"/>
                <c:pt idx="0">
                  <c:v>132</c:v>
                </c:pt>
                <c:pt idx="1">
                  <c:v>176</c:v>
                </c:pt>
                <c:pt idx="2">
                  <c:v>161</c:v>
                </c:pt>
              </c:numCache>
            </c:numRef>
          </c:xVal>
          <c:yVal>
            <c:numRef>
              <c:f>'May 2023 Data'!$J$10:$J$12</c:f>
              <c:numCache>
                <c:formatCode>General</c:formatCode>
                <c:ptCount val="3"/>
                <c:pt idx="0">
                  <c:v>182</c:v>
                </c:pt>
                <c:pt idx="1">
                  <c:v>189</c:v>
                </c:pt>
                <c:pt idx="2">
                  <c:v>184</c:v>
                </c:pt>
              </c:numCache>
            </c:numRef>
          </c:yVal>
          <c:smooth val="0"/>
          <c:extLst>
            <c:ext xmlns:c15="http://schemas.microsoft.com/office/drawing/2012/chart" uri="{02D57815-91ED-43cb-92C2-25804820EDAC}">
              <c15:datalabelsRange>
                <c15:f>'May 2023 Data'!$A$10:$A$12</c15:f>
                <c15:dlblRangeCache>
                  <c:ptCount val="3"/>
                  <c:pt idx="0">
                    <c:v>Wakatakakage</c:v>
                  </c:pt>
                  <c:pt idx="1">
                    <c:v>Kotonowaka</c:v>
                  </c:pt>
                  <c:pt idx="2">
                    <c:v>Shodai</c:v>
                  </c:pt>
                </c15:dlblRangeCache>
              </c15:datalabelsRange>
            </c:ext>
            <c:ext xmlns:c16="http://schemas.microsoft.com/office/drawing/2014/chart" uri="{C3380CC4-5D6E-409C-BE32-E72D297353CC}">
              <c16:uniqueId val="{0000000C-6A53-4CC9-BC04-CCB30645214F}"/>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tx>
                <c:rich>
                  <a:bodyPr/>
                  <a:lstStyle/>
                  <a:p>
                    <a:fld id="{C6A27DB1-602A-4D10-9941-FA69E160A9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A53-4CC9-BC04-CCB30645214F}"/>
                </c:ext>
              </c:extLst>
            </c:dLbl>
            <c:dLbl>
              <c:idx val="1"/>
              <c:tx>
                <c:rich>
                  <a:bodyPr/>
                  <a:lstStyle/>
                  <a:p>
                    <a:fld id="{B86D3703-613F-45AE-AC0F-26BA6248B9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A53-4CC9-BC04-CCB30645214F}"/>
                </c:ext>
              </c:extLst>
            </c:dLbl>
            <c:dLbl>
              <c:idx val="2"/>
              <c:tx>
                <c:rich>
                  <a:bodyPr/>
                  <a:lstStyle/>
                  <a:p>
                    <a:fld id="{DA428DCC-91FD-4A34-9C2A-6A8A76203B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A53-4CC9-BC04-CCB30645214F}"/>
                </c:ext>
              </c:extLst>
            </c:dLbl>
            <c:dLbl>
              <c:idx val="3"/>
              <c:tx>
                <c:rich>
                  <a:bodyPr/>
                  <a:lstStyle/>
                  <a:p>
                    <a:fld id="{C1561F76-2309-4ACA-921B-D919E7280F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A53-4CC9-BC04-CCB30645214F}"/>
                </c:ext>
              </c:extLst>
            </c:dLbl>
            <c:dLbl>
              <c:idx val="4"/>
              <c:tx>
                <c:rich>
                  <a:bodyPr/>
                  <a:lstStyle/>
                  <a:p>
                    <a:fld id="{E65C52C0-DD25-456F-982A-C9A46BFE01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A53-4CC9-BC04-CCB30645214F}"/>
                </c:ext>
              </c:extLst>
            </c:dLbl>
            <c:dLbl>
              <c:idx val="5"/>
              <c:layout>
                <c:manualLayout>
                  <c:x val="-3.2263976138976622E-2"/>
                  <c:y val="2.2222222222222223E-2"/>
                </c:manualLayout>
              </c:layout>
              <c:tx>
                <c:rich>
                  <a:bodyPr/>
                  <a:lstStyle/>
                  <a:p>
                    <a:fld id="{A98850B5-C535-46D1-80F6-A3FF01971B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6A53-4CC9-BC04-CCB30645214F}"/>
                </c:ext>
              </c:extLst>
            </c:dLbl>
            <c:dLbl>
              <c:idx val="6"/>
              <c:tx>
                <c:rich>
                  <a:bodyPr/>
                  <a:lstStyle/>
                  <a:p>
                    <a:fld id="{621FBED8-9671-496C-B126-AA505488B2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A53-4CC9-BC04-CCB30645214F}"/>
                </c:ext>
              </c:extLst>
            </c:dLbl>
            <c:dLbl>
              <c:idx val="7"/>
              <c:tx>
                <c:rich>
                  <a:bodyPr/>
                  <a:lstStyle/>
                  <a:p>
                    <a:fld id="{F51A185F-9C13-4FF3-A9D4-3B8364C47B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Data'!$K$13:$K$20</c:f>
              <c:numCache>
                <c:formatCode>General</c:formatCode>
                <c:ptCount val="8"/>
                <c:pt idx="0">
                  <c:v>158</c:v>
                </c:pt>
                <c:pt idx="1">
                  <c:v>116</c:v>
                </c:pt>
                <c:pt idx="2">
                  <c:v>150</c:v>
                </c:pt>
                <c:pt idx="3">
                  <c:v>183</c:v>
                </c:pt>
                <c:pt idx="4">
                  <c:v>135</c:v>
                </c:pt>
                <c:pt idx="5">
                  <c:v>149</c:v>
                </c:pt>
                <c:pt idx="6">
                  <c:v>180</c:v>
                </c:pt>
                <c:pt idx="7">
                  <c:v>143</c:v>
                </c:pt>
              </c:numCache>
            </c:numRef>
          </c:xVal>
          <c:yVal>
            <c:numRef>
              <c:f>'May 2023 Data'!$J$13:$J$20</c:f>
              <c:numCache>
                <c:formatCode>General</c:formatCode>
                <c:ptCount val="8"/>
                <c:pt idx="0">
                  <c:v>186</c:v>
                </c:pt>
                <c:pt idx="1">
                  <c:v>171</c:v>
                </c:pt>
                <c:pt idx="2">
                  <c:v>184</c:v>
                </c:pt>
                <c:pt idx="3">
                  <c:v>188</c:v>
                </c:pt>
                <c:pt idx="4">
                  <c:v>174</c:v>
                </c:pt>
                <c:pt idx="5">
                  <c:v>184</c:v>
                </c:pt>
                <c:pt idx="6">
                  <c:v>185</c:v>
                </c:pt>
                <c:pt idx="7">
                  <c:v>175</c:v>
                </c:pt>
              </c:numCache>
            </c:numRef>
          </c:yVal>
          <c:smooth val="0"/>
          <c:extLst>
            <c:ext xmlns:c15="http://schemas.microsoft.com/office/drawing/2012/chart" uri="{02D57815-91ED-43cb-92C2-25804820EDAC}">
              <c15:datalabelsRange>
                <c15:f>'May 2023 Data'!$A$13:$A$20</c15:f>
                <c15:dlblRangeCache>
                  <c:ptCount val="8"/>
                  <c:pt idx="0">
                    <c:v>Abi</c:v>
                  </c:pt>
                  <c:pt idx="1">
                    <c:v>Midorifuji</c:v>
                  </c:pt>
                  <c:pt idx="2">
                    <c:v>Endo</c:v>
                  </c:pt>
                  <c:pt idx="3">
                    <c:v>Takayasu</c:v>
                  </c:pt>
                  <c:pt idx="4">
                    <c:v>Tobizaru</c:v>
                  </c:pt>
                  <c:pt idx="5">
                    <c:v>Nishikifuji</c:v>
                  </c:pt>
                  <c:pt idx="6">
                    <c:v>Nishikigi</c:v>
                  </c:pt>
                  <c:pt idx="7">
                    <c:v>Ura</c:v>
                  </c:pt>
                </c15:dlblRangeCache>
              </c15:datalabelsRange>
            </c:ext>
            <c:ext xmlns:c16="http://schemas.microsoft.com/office/drawing/2014/chart" uri="{C3380CC4-5D6E-409C-BE32-E72D297353CC}">
              <c16:uniqueId val="{00000015-6A53-4CC9-BC04-CCB30645214F}"/>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1F027A2B-CAD1-4398-AEEB-87DB3F0741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A53-4CC9-BC04-CCB30645214F}"/>
                </c:ext>
              </c:extLst>
            </c:dLbl>
            <c:dLbl>
              <c:idx val="1"/>
              <c:tx>
                <c:rich>
                  <a:bodyPr/>
                  <a:lstStyle/>
                  <a:p>
                    <a:fld id="{97D2953D-434C-4FEB-ACC4-BF1826B0BB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A53-4CC9-BC04-CCB30645214F}"/>
                </c:ext>
              </c:extLst>
            </c:dLbl>
            <c:dLbl>
              <c:idx val="2"/>
              <c:tx>
                <c:rich>
                  <a:bodyPr/>
                  <a:lstStyle/>
                  <a:p>
                    <a:fld id="{7C3B9001-BAB3-49B5-9315-ED11567485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A53-4CC9-BC04-CCB30645214F}"/>
                </c:ext>
              </c:extLst>
            </c:dLbl>
            <c:dLbl>
              <c:idx val="3"/>
              <c:tx>
                <c:rich>
                  <a:bodyPr/>
                  <a:lstStyle/>
                  <a:p>
                    <a:fld id="{3376E488-BD91-49A9-9DE2-52F0CFF7B0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A53-4CC9-BC04-CCB30645214F}"/>
                </c:ext>
              </c:extLst>
            </c:dLbl>
            <c:dLbl>
              <c:idx val="4"/>
              <c:layout>
                <c:manualLayout>
                  <c:x val="-2.9330887399069703E-3"/>
                  <c:y val="3.2323232323232323E-2"/>
                </c:manualLayout>
              </c:layout>
              <c:tx>
                <c:rich>
                  <a:bodyPr/>
                  <a:lstStyle/>
                  <a:p>
                    <a:fld id="{67D00B13-B60E-4EFD-936F-77FC808B0D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6A53-4CC9-BC04-CCB30645214F}"/>
                </c:ext>
              </c:extLst>
            </c:dLbl>
            <c:dLbl>
              <c:idx val="5"/>
              <c:layout>
                <c:manualLayout>
                  <c:x val="-2.9330887399069756E-2"/>
                  <c:y val="2.8282828282828135E-2"/>
                </c:manualLayout>
              </c:layout>
              <c:tx>
                <c:rich>
                  <a:bodyPr/>
                  <a:lstStyle/>
                  <a:p>
                    <a:fld id="{82C68A6B-CC8A-4888-9F3C-8ACCB5A7AD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6A53-4CC9-BC04-CCB30645214F}"/>
                </c:ext>
              </c:extLst>
            </c:dLbl>
            <c:dLbl>
              <c:idx val="6"/>
              <c:tx>
                <c:rich>
                  <a:bodyPr/>
                  <a:lstStyle/>
                  <a:p>
                    <a:fld id="{A5EFC762-89B6-40FF-B215-8C3A20B74E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A53-4CC9-BC04-CCB30645214F}"/>
                </c:ext>
              </c:extLst>
            </c:dLbl>
            <c:dLbl>
              <c:idx val="7"/>
              <c:tx>
                <c:rich>
                  <a:bodyPr/>
                  <a:lstStyle/>
                  <a:p>
                    <a:fld id="{A5FBE842-53E1-4029-92F6-4E004E6147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Data'!$K$21:$K$28</c:f>
              <c:numCache>
                <c:formatCode>General</c:formatCode>
                <c:ptCount val="8"/>
                <c:pt idx="0">
                  <c:v>161</c:v>
                </c:pt>
                <c:pt idx="1">
                  <c:v>181</c:v>
                </c:pt>
                <c:pt idx="2">
                  <c:v>170</c:v>
                </c:pt>
                <c:pt idx="3">
                  <c:v>154</c:v>
                </c:pt>
                <c:pt idx="4">
                  <c:v>174</c:v>
                </c:pt>
                <c:pt idx="5">
                  <c:v>158</c:v>
                </c:pt>
                <c:pt idx="6">
                  <c:v>142</c:v>
                </c:pt>
                <c:pt idx="7">
                  <c:v>170</c:v>
                </c:pt>
              </c:numCache>
            </c:numRef>
          </c:xVal>
          <c:yVal>
            <c:numRef>
              <c:f>'May 2023 Data'!$J$21:$J$28</c:f>
              <c:numCache>
                <c:formatCode>General</c:formatCode>
                <c:ptCount val="8"/>
                <c:pt idx="0">
                  <c:v>191</c:v>
                </c:pt>
                <c:pt idx="1">
                  <c:v>192</c:v>
                </c:pt>
                <c:pt idx="2">
                  <c:v>179</c:v>
                </c:pt>
                <c:pt idx="3">
                  <c:v>180</c:v>
                </c:pt>
                <c:pt idx="4">
                  <c:v>189</c:v>
                </c:pt>
                <c:pt idx="5">
                  <c:v>184</c:v>
                </c:pt>
                <c:pt idx="6">
                  <c:v>182</c:v>
                </c:pt>
                <c:pt idx="7">
                  <c:v>183</c:v>
                </c:pt>
              </c:numCache>
            </c:numRef>
          </c:yVal>
          <c:smooth val="0"/>
          <c:extLst>
            <c:ext xmlns:c15="http://schemas.microsoft.com/office/drawing/2012/chart" uri="{02D57815-91ED-43cb-92C2-25804820EDAC}">
              <c15:datalabelsRange>
                <c15:f>'May 2023 Data'!$A$21:$A$28</c15:f>
                <c15:dlblRangeCache>
                  <c:ptCount val="8"/>
                  <c:pt idx="0">
                    <c:v>Kotoshoho</c:v>
                  </c:pt>
                  <c:pt idx="1">
                    <c:v>Kinbozan</c:v>
                  </c:pt>
                  <c:pt idx="2">
                    <c:v>Mitakeumi</c:v>
                  </c:pt>
                  <c:pt idx="3">
                    <c:v>Meisei</c:v>
                  </c:pt>
                  <c:pt idx="4">
                    <c:v>Tamawashi</c:v>
                  </c:pt>
                  <c:pt idx="5">
                    <c:v>Hokutofuji</c:v>
                  </c:pt>
                  <c:pt idx="6">
                    <c:v>Sadanoumi</c:v>
                  </c:pt>
                  <c:pt idx="7">
                    <c:v>Takanosho</c:v>
                  </c:pt>
                </c15:dlblRangeCache>
              </c15:datalabelsRange>
            </c:ext>
            <c:ext xmlns:c16="http://schemas.microsoft.com/office/drawing/2014/chart" uri="{C3380CC4-5D6E-409C-BE32-E72D297353CC}">
              <c16:uniqueId val="{0000001E-6A53-4CC9-BC04-CCB30645214F}"/>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38C382C8-98E1-42D1-A454-05416FB6AA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A53-4CC9-BC04-CCB30645214F}"/>
                </c:ext>
              </c:extLst>
            </c:dLbl>
            <c:dLbl>
              <c:idx val="1"/>
              <c:tx>
                <c:rich>
                  <a:bodyPr/>
                  <a:lstStyle/>
                  <a:p>
                    <a:fld id="{8482B284-F7E3-444B-BBF2-C6533BFA77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A53-4CC9-BC04-CCB30645214F}"/>
                </c:ext>
              </c:extLst>
            </c:dLbl>
            <c:dLbl>
              <c:idx val="2"/>
              <c:layout>
                <c:manualLayout>
                  <c:x val="-4.252978672865107E-2"/>
                  <c:y val="-2.4242424242424242E-2"/>
                </c:manualLayout>
              </c:layout>
              <c:tx>
                <c:rich>
                  <a:bodyPr/>
                  <a:lstStyle/>
                  <a:p>
                    <a:fld id="{EE935B87-3C34-4BFC-9330-E1C896F27D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6A53-4CC9-BC04-CCB30645214F}"/>
                </c:ext>
              </c:extLst>
            </c:dLbl>
            <c:dLbl>
              <c:idx val="3"/>
              <c:tx>
                <c:rich>
                  <a:bodyPr/>
                  <a:lstStyle/>
                  <a:p>
                    <a:fld id="{44B5373A-A44B-41E2-A887-D4BEF1E8E3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A53-4CC9-BC04-CCB30645214F}"/>
                </c:ext>
              </c:extLst>
            </c:dLbl>
            <c:dLbl>
              <c:idx val="4"/>
              <c:tx>
                <c:rich>
                  <a:bodyPr/>
                  <a:lstStyle/>
                  <a:p>
                    <a:fld id="{163EB0C7-9FFE-4AED-9A79-FED9827912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A53-4CC9-BC04-CCB30645214F}"/>
                </c:ext>
              </c:extLst>
            </c:dLbl>
            <c:dLbl>
              <c:idx val="5"/>
              <c:tx>
                <c:rich>
                  <a:bodyPr/>
                  <a:lstStyle/>
                  <a:p>
                    <a:fld id="{E1A3B091-1EF4-4691-A197-A46A8D00D3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A53-4CC9-BC04-CCB30645214F}"/>
                </c:ext>
              </c:extLst>
            </c:dLbl>
            <c:dLbl>
              <c:idx val="6"/>
              <c:tx>
                <c:rich>
                  <a:bodyPr/>
                  <a:lstStyle/>
                  <a:p>
                    <a:fld id="{0087BEDF-0B7E-4D3F-88D0-6AD9E9986A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A53-4CC9-BC04-CCB30645214F}"/>
                </c:ext>
              </c:extLst>
            </c:dLbl>
            <c:dLbl>
              <c:idx val="7"/>
              <c:tx>
                <c:rich>
                  <a:bodyPr/>
                  <a:lstStyle/>
                  <a:p>
                    <a:fld id="{54B2CE52-9083-4319-A437-F7A1AA2EEF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Data'!$K$29:$K$36</c:f>
              <c:numCache>
                <c:formatCode>General</c:formatCode>
                <c:ptCount val="8"/>
                <c:pt idx="0">
                  <c:v>165</c:v>
                </c:pt>
                <c:pt idx="1">
                  <c:v>135</c:v>
                </c:pt>
                <c:pt idx="2">
                  <c:v>155</c:v>
                </c:pt>
                <c:pt idx="3">
                  <c:v>171</c:v>
                </c:pt>
                <c:pt idx="4">
                  <c:v>196</c:v>
                </c:pt>
                <c:pt idx="5">
                  <c:v>185</c:v>
                </c:pt>
                <c:pt idx="6">
                  <c:v>186</c:v>
                </c:pt>
                <c:pt idx="7">
                  <c:v>133</c:v>
                </c:pt>
              </c:numCache>
            </c:numRef>
          </c:xVal>
          <c:yVal>
            <c:numRef>
              <c:f>'May 2023 Data'!$J$29:$J$36</c:f>
              <c:numCache>
                <c:formatCode>General</c:formatCode>
                <c:ptCount val="8"/>
                <c:pt idx="0">
                  <c:v>177</c:v>
                </c:pt>
                <c:pt idx="1">
                  <c:v>177</c:v>
                </c:pt>
                <c:pt idx="2">
                  <c:v>188</c:v>
                </c:pt>
                <c:pt idx="3">
                  <c:v>186</c:v>
                </c:pt>
                <c:pt idx="4">
                  <c:v>185</c:v>
                </c:pt>
                <c:pt idx="5">
                  <c:v>204</c:v>
                </c:pt>
                <c:pt idx="6">
                  <c:v>191</c:v>
                </c:pt>
                <c:pt idx="7">
                  <c:v>176</c:v>
                </c:pt>
              </c:numCache>
            </c:numRef>
          </c:yVal>
          <c:smooth val="0"/>
          <c:extLst>
            <c:ext xmlns:c15="http://schemas.microsoft.com/office/drawing/2012/chart" uri="{02D57815-91ED-43cb-92C2-25804820EDAC}">
              <c15:datalabelsRange>
                <c15:f>'May 2023 Data'!$A$29:$A$36</c15:f>
                <c15:dlblRangeCache>
                  <c:ptCount val="8"/>
                  <c:pt idx="0">
                    <c:v>Onosho</c:v>
                  </c:pt>
                  <c:pt idx="1">
                    <c:v>Hiradoumi</c:v>
                  </c:pt>
                  <c:pt idx="2">
                    <c:v>Ryuden</c:v>
                  </c:pt>
                  <c:pt idx="3">
                    <c:v>Takarafuji</c:v>
                  </c:pt>
                  <c:pt idx="4">
                    <c:v>Daishoho</c:v>
                  </c:pt>
                  <c:pt idx="5">
                    <c:v>Hokuseiho</c:v>
                  </c:pt>
                  <c:pt idx="6">
                    <c:v>Aoiyama</c:v>
                  </c:pt>
                  <c:pt idx="7">
                    <c:v>Kotoeko</c:v>
                  </c:pt>
                </c15:dlblRangeCache>
              </c15:datalabelsRange>
            </c:ext>
            <c:ext xmlns:c16="http://schemas.microsoft.com/office/drawing/2014/chart" uri="{C3380CC4-5D6E-409C-BE32-E72D297353CC}">
              <c16:uniqueId val="{00000027-6A53-4CC9-BC04-CCB30645214F}"/>
            </c:ext>
          </c:extLst>
        </c:ser>
        <c:ser>
          <c:idx val="7"/>
          <c:order val="7"/>
          <c:tx>
            <c:v>M13-17</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tx>
                <c:rich>
                  <a:bodyPr/>
                  <a:lstStyle/>
                  <a:p>
                    <a:fld id="{375D16A4-2BF2-4A1D-81E7-5F953C5511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6A53-4CC9-BC04-CCB30645214F}"/>
                </c:ext>
              </c:extLst>
            </c:dLbl>
            <c:dLbl>
              <c:idx val="1"/>
              <c:tx>
                <c:rich>
                  <a:bodyPr/>
                  <a:lstStyle/>
                  <a:p>
                    <a:fld id="{D5E9F8D6-8918-4250-9F7E-32FA987323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6A53-4CC9-BC04-CCB30645214F}"/>
                </c:ext>
              </c:extLst>
            </c:dLbl>
            <c:dLbl>
              <c:idx val="2"/>
              <c:tx>
                <c:rich>
                  <a:bodyPr/>
                  <a:lstStyle/>
                  <a:p>
                    <a:fld id="{67B67CE9-BEBA-4FE3-9977-CD7909C532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6A53-4CC9-BC04-CCB30645214F}"/>
                </c:ext>
              </c:extLst>
            </c:dLbl>
            <c:dLbl>
              <c:idx val="3"/>
              <c:layout>
                <c:manualLayout>
                  <c:x val="-2.4931254289209247E-2"/>
                  <c:y val="2.8282828282828285E-2"/>
                </c:manualLayout>
              </c:layout>
              <c:tx>
                <c:rich>
                  <a:bodyPr/>
                  <a:lstStyle/>
                  <a:p>
                    <a:fld id="{9546B778-5D01-4EFF-A07B-768E0FAFFD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6A53-4CC9-BC04-CCB30645214F}"/>
                </c:ext>
              </c:extLst>
            </c:dLbl>
            <c:dLbl>
              <c:idx val="4"/>
              <c:layout>
                <c:manualLayout>
                  <c:x val="-0.13345553766576718"/>
                  <c:y val="0"/>
                </c:manualLayout>
              </c:layout>
              <c:tx>
                <c:rich>
                  <a:bodyPr/>
                  <a:lstStyle/>
                  <a:p>
                    <a:fld id="{E502E224-1853-4EE6-A718-177BF919AD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6A53-4CC9-BC04-CCB30645214F}"/>
                </c:ext>
              </c:extLst>
            </c:dLbl>
            <c:dLbl>
              <c:idx val="5"/>
              <c:layout>
                <c:manualLayout>
                  <c:x val="-1.4665443699534852E-2"/>
                  <c:y val="-3.6363636363636292E-2"/>
                </c:manualLayout>
              </c:layout>
              <c:tx>
                <c:rich>
                  <a:bodyPr/>
                  <a:lstStyle/>
                  <a:p>
                    <a:fld id="{95A55B95-3C60-45DC-B27A-2C53A88E53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6A53-4CC9-BC04-CCB30645214F}"/>
                </c:ext>
              </c:extLst>
            </c:dLbl>
            <c:dLbl>
              <c:idx val="6"/>
              <c:tx>
                <c:rich>
                  <a:bodyPr/>
                  <a:lstStyle/>
                  <a:p>
                    <a:fld id="{4B7E3645-D4E8-4E98-8BFB-220D0035AA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6A53-4CC9-BC04-CCB30645214F}"/>
                </c:ext>
              </c:extLst>
            </c:dLbl>
            <c:dLbl>
              <c:idx val="7"/>
              <c:tx>
                <c:rich>
                  <a:bodyPr/>
                  <a:lstStyle/>
                  <a:p>
                    <a:fld id="{0115534F-31D3-4589-8651-A0046EFEE6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6A53-4CC9-BC04-CCB30645214F}"/>
                </c:ext>
              </c:extLst>
            </c:dLbl>
            <c:dLbl>
              <c:idx val="8"/>
              <c:tx>
                <c:rich>
                  <a:bodyPr/>
                  <a:lstStyle/>
                  <a:p>
                    <a:fld id="{8933D94D-3D45-4815-B027-BCC1E20F29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Data'!$K$37:$K$45</c:f>
              <c:numCache>
                <c:formatCode>General</c:formatCode>
                <c:ptCount val="9"/>
                <c:pt idx="0">
                  <c:v>137</c:v>
                </c:pt>
                <c:pt idx="1">
                  <c:v>219</c:v>
                </c:pt>
                <c:pt idx="2">
                  <c:v>156</c:v>
                </c:pt>
                <c:pt idx="3">
                  <c:v>168</c:v>
                </c:pt>
                <c:pt idx="4">
                  <c:v>144</c:v>
                </c:pt>
                <c:pt idx="5">
                  <c:v>194</c:v>
                </c:pt>
                <c:pt idx="6">
                  <c:v>179</c:v>
                </c:pt>
                <c:pt idx="7">
                  <c:v>199</c:v>
                </c:pt>
                <c:pt idx="8">
                  <c:v>156</c:v>
                </c:pt>
              </c:numCache>
            </c:numRef>
          </c:xVal>
          <c:yVal>
            <c:numRef>
              <c:f>'May 2023 Data'!$J$37:$J$45</c:f>
              <c:numCache>
                <c:formatCode>General</c:formatCode>
                <c:ptCount val="9"/>
                <c:pt idx="0">
                  <c:v>184</c:v>
                </c:pt>
                <c:pt idx="1">
                  <c:v>191</c:v>
                </c:pt>
                <c:pt idx="2">
                  <c:v>188</c:v>
                </c:pt>
                <c:pt idx="3">
                  <c:v>189</c:v>
                </c:pt>
                <c:pt idx="4">
                  <c:v>187</c:v>
                </c:pt>
                <c:pt idx="5">
                  <c:v>185</c:v>
                </c:pt>
                <c:pt idx="6">
                  <c:v>190</c:v>
                </c:pt>
                <c:pt idx="7">
                  <c:v>189</c:v>
                </c:pt>
                <c:pt idx="8">
                  <c:v>193</c:v>
                </c:pt>
              </c:numCache>
            </c:numRef>
          </c:yVal>
          <c:smooth val="0"/>
          <c:extLst>
            <c:ext xmlns:c15="http://schemas.microsoft.com/office/drawing/2012/chart" uri="{02D57815-91ED-43cb-92C2-25804820EDAC}">
              <c15:datalabelsRange>
                <c15:f>'May 2023 Data'!$A$37:$A$45</c15:f>
                <c15:dlblRangeCache>
                  <c:ptCount val="9"/>
                  <c:pt idx="0">
                    <c:v>Chiyoshoma</c:v>
                  </c:pt>
                  <c:pt idx="1">
                    <c:v>Ichinojo</c:v>
                  </c:pt>
                  <c:pt idx="2">
                    <c:v>Myogiryu</c:v>
                  </c:pt>
                  <c:pt idx="3">
                    <c:v>Asanoyama</c:v>
                  </c:pt>
                  <c:pt idx="4">
                    <c:v>Ichiyamamoto</c:v>
                  </c:pt>
                  <c:pt idx="5">
                    <c:v>Tsurugisho</c:v>
                  </c:pt>
                  <c:pt idx="6">
                    <c:v>Oho</c:v>
                  </c:pt>
                  <c:pt idx="7">
                    <c:v>Mitoryu</c:v>
                  </c:pt>
                  <c:pt idx="8">
                    <c:v>Kagayaki</c:v>
                  </c:pt>
                </c15:dlblRangeCache>
              </c15:datalabelsRange>
            </c:ext>
            <c:ext xmlns:c16="http://schemas.microsoft.com/office/drawing/2014/chart" uri="{C3380CC4-5D6E-409C-BE32-E72D297353CC}">
              <c16:uniqueId val="{00000031-6A53-4CC9-BC04-CCB30645214F}"/>
            </c:ext>
          </c:extLst>
        </c:ser>
        <c:dLbls>
          <c:showLegendKey val="0"/>
          <c:showVal val="0"/>
          <c:showCatName val="0"/>
          <c:showSerName val="0"/>
          <c:showPercent val="0"/>
          <c:showBubbleSize val="0"/>
        </c:dLbls>
        <c:axId val="745971600"/>
        <c:axId val="745971928"/>
      </c:scatterChart>
      <c:valAx>
        <c:axId val="745971600"/>
        <c:scaling>
          <c:orientation val="minMax"/>
          <c:max val="205"/>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txData>
          <cx:v>BMI histogram for November 2022 Makuuchi wrestlers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BMI histogram for November 2022 Makuuchi wrestlers</a:t>
          </a:r>
        </a:p>
      </cx:txPr>
    </cx:title>
    <cx:plotArea>
      <cx:plotAreaRegion>
        <cx:series layoutId="clusteredColumn" uniqueId="{D5E39805-BBFC-46AF-B444-6C874E1021C3}">
          <cx:tx>
            <cx:txData>
              <cx:f/>
              <cx:v>BMI Nov 2022</cx:v>
            </cx:txData>
          </cx:tx>
          <cx:spPr>
            <a:solidFill>
              <a:schemeClr val="accent3"/>
            </a:solidFill>
          </cx:spPr>
          <cx:dataId val="0"/>
          <cx:layoutPr>
            <cx:binning intervalClosed="r">
              <cx:binCount val="7"/>
            </cx:binning>
          </cx:layoutPr>
        </cx:series>
      </cx:plotAreaRegion>
      <cx:axis id="0">
        <cx:catScaling gapWidth="0"/>
        <cx:tickLabels/>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E42FEC0-3E2D-4A29-BF38-A8200563758D}">
  <sheetPr codeName="Chart2"/>
  <sheetViews>
    <sheetView zoomScale="89"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3791052-9909-4553-9940-952302C699F8}">
  <sheetPr codeName="Chart4"/>
  <sheetViews>
    <sheetView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1B654C2-32DF-4F77-9C25-3E164D5340C2}">
  <sheetPr/>
  <sheetViews>
    <sheetView zoomScale="256"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95E9E0-4212-4868-B47E-DD306169A284}">
  <sheetPr/>
  <sheetViews>
    <sheetView zoomScale="160"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BD928AD-D73F-45DE-991C-8FC90B47CE90}">
  <sheetPr/>
  <sheetViews>
    <sheetView zoomScale="16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F02AC23-5909-466A-8907-5EEA43C07256}">
  <sheetPr/>
  <sheetViews>
    <sheetView zoomScale="160"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5EEBFAF-6685-4F3B-847F-7BD19369A0CD}">
  <sheetPr/>
  <sheetViews>
    <sheetView zoomScale="114"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7A3264C-9058-4280-A1CD-207014CC0443}">
  <sheetPr/>
  <sheetViews>
    <sheetView zoomScale="85"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5D75502-0363-4757-B294-9A2D7B3EFB5E}">
  <sheetPr/>
  <sheetViews>
    <sheetView tabSelected="1" zoomScale="16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microsoft.com/office/2014/relationships/chartEx" Target="../charts/chartEx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absoluteAnchor>
    <xdr:pos x="0" y="0"/>
    <xdr:ext cx="8656972" cy="6285917"/>
    <xdr:graphicFrame macro="">
      <xdr:nvGraphicFramePr>
        <xdr:cNvPr id="2" name="Chart 1">
          <a:extLst>
            <a:ext uri="{FF2B5EF4-FFF2-40B4-BE49-F238E27FC236}">
              <a16:creationId xmlns:a16="http://schemas.microsoft.com/office/drawing/2014/main" id="{E02F1B1A-3750-48D1-AB4F-E80B7DBF50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31</xdr:col>
      <xdr:colOff>517493</xdr:colOff>
      <xdr:row>86</xdr:row>
      <xdr:rowOff>180974</xdr:rowOff>
    </xdr:to>
    <xdr:pic>
      <xdr:nvPicPr>
        <xdr:cNvPr id="2" name="Picture 1">
          <a:extLst>
            <a:ext uri="{FF2B5EF4-FFF2-40B4-BE49-F238E27FC236}">
              <a16:creationId xmlns:a16="http://schemas.microsoft.com/office/drawing/2014/main" id="{D0001326-3FCB-4489-83CB-2AFA428FF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596193" cy="1574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6F66203E-4669-C2E9-691C-750CDDBE1C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oneCellAnchor>
    <xdr:from>
      <xdr:col>0</xdr:col>
      <xdr:colOff>0</xdr:colOff>
      <xdr:row>15</xdr:row>
      <xdr:rowOff>0</xdr:rowOff>
    </xdr:from>
    <xdr:ext cx="5580990" cy="3619024"/>
    <xdr:pic>
      <xdr:nvPicPr>
        <xdr:cNvPr id="2" name="Picture 1">
          <a:extLst>
            <a:ext uri="{FF2B5EF4-FFF2-40B4-BE49-F238E27FC236}">
              <a16:creationId xmlns:a16="http://schemas.microsoft.com/office/drawing/2014/main" id="{8C7AE8E5-D180-4DE5-8DCF-2FA01081E381}"/>
            </a:ext>
          </a:extLst>
        </xdr:cNvPr>
        <xdr:cNvPicPr>
          <a:picLocks noChangeAspect="1"/>
        </xdr:cNvPicPr>
      </xdr:nvPicPr>
      <xdr:blipFill>
        <a:blip xmlns:r="http://schemas.openxmlformats.org/officeDocument/2006/relationships" r:embed="rId1"/>
        <a:stretch>
          <a:fillRect/>
        </a:stretch>
      </xdr:blipFill>
      <xdr:spPr>
        <a:xfrm>
          <a:off x="0" y="1085850"/>
          <a:ext cx="5580990" cy="3619024"/>
        </a:xfrm>
        <a:prstGeom prst="rect">
          <a:avLst/>
        </a:prstGeom>
      </xdr:spPr>
    </xdr:pic>
    <xdr:clientData/>
  </xdr:oneCellAnchor>
  <xdr:twoCellAnchor editAs="oneCell">
    <xdr:from>
      <xdr:col>0</xdr:col>
      <xdr:colOff>304800</xdr:colOff>
      <xdr:row>40</xdr:row>
      <xdr:rowOff>127000</xdr:rowOff>
    </xdr:from>
    <xdr:to>
      <xdr:col>4</xdr:col>
      <xdr:colOff>2708275</xdr:colOff>
      <xdr:row>134</xdr:row>
      <xdr:rowOff>171450</xdr:rowOff>
    </xdr:to>
    <xdr:pic>
      <xdr:nvPicPr>
        <xdr:cNvPr id="3" name="Picture 2">
          <a:extLst>
            <a:ext uri="{FF2B5EF4-FFF2-40B4-BE49-F238E27FC236}">
              <a16:creationId xmlns:a16="http://schemas.microsoft.com/office/drawing/2014/main" id="{72607EB6-FF1D-3759-19E3-4B1400A39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7759700"/>
          <a:ext cx="8677275" cy="1735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1400" cy="6273800"/>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23F8C355-9F3E-493E-B480-49E2B165D8E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3.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186C1164-A685-179D-AD95-D52E82AE122A}"/>
            </a:ext>
          </a:extLst>
        </cdr:cNvPr>
        <cdr:cNvSpPr>
          <a:spLocks xmlns:a="http://schemas.openxmlformats.org/drawingml/2006/main" noTextEdit="1"/>
        </cdr:cNvSpPr>
      </cdr:nvSpPr>
      <cdr:spPr>
        <a:xfrm xmlns:a="http://schemas.openxmlformats.org/drawingml/2006/main">
          <a:off x="0" y="0"/>
          <a:ext cx="8661400" cy="6273800"/>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US" sz="1100"/>
            <a:t>This chart isn't available in your version of Excel.
Editing this shape or saving this workbook into a different file format will permanently break the chart.</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8664277" cy="6287988"/>
    <xdr:graphicFrame macro="">
      <xdr:nvGraphicFramePr>
        <xdr:cNvPr id="2" name="Chart 1">
          <a:extLst>
            <a:ext uri="{FF2B5EF4-FFF2-40B4-BE49-F238E27FC236}">
              <a16:creationId xmlns:a16="http://schemas.microsoft.com/office/drawing/2014/main" id="{35DC3183-B213-D4F6-BA21-57A9437629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59813" cy="6270625"/>
    <xdr:graphicFrame macro="">
      <xdr:nvGraphicFramePr>
        <xdr:cNvPr id="2" name="Chart 1">
          <a:extLst>
            <a:ext uri="{FF2B5EF4-FFF2-40B4-BE49-F238E27FC236}">
              <a16:creationId xmlns:a16="http://schemas.microsoft.com/office/drawing/2014/main" id="{0FDE4DD9-93E9-AC6B-520C-92191E3BAA6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64277" cy="6287988"/>
    <xdr:graphicFrame macro="">
      <xdr:nvGraphicFramePr>
        <xdr:cNvPr id="2" name="Chart 1">
          <a:extLst>
            <a:ext uri="{FF2B5EF4-FFF2-40B4-BE49-F238E27FC236}">
              <a16:creationId xmlns:a16="http://schemas.microsoft.com/office/drawing/2014/main" id="{353E1DF6-78C7-8C55-70F7-4B8A36BBCE7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E9B09C3F-DFBD-931C-10F7-AFDE98BA4C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64408" cy="6291513"/>
    <xdr:graphicFrame macro="">
      <xdr:nvGraphicFramePr>
        <xdr:cNvPr id="2" name="Chart 1">
          <a:extLst>
            <a:ext uri="{FF2B5EF4-FFF2-40B4-BE49-F238E27FC236}">
              <a16:creationId xmlns:a16="http://schemas.microsoft.com/office/drawing/2014/main" id="{4E63EC65-EF68-A89E-7B73-4D6B6DE9A17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F8589C4C-F353-0312-184B-E79662E069B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2MPCL\AppData\Roaming\Microsoft\AddIns\XRealStats.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g"/>
      <sheetName val="Wilcoxon Table"/>
      <sheetName val="Mann Table"/>
      <sheetName val="Runs Table"/>
      <sheetName val="KS Table"/>
      <sheetName val="KS2 Table"/>
      <sheetName val="Lil Table"/>
      <sheetName val="AD Table"/>
      <sheetName val="AD2 Table"/>
      <sheetName val="SW Table"/>
      <sheetName val="Stud. Q Table"/>
      <sheetName val="Stud. Q Table 2"/>
      <sheetName val="Sp Rho Table"/>
      <sheetName val="Ken Tau Table"/>
      <sheetName val="Durbin Table"/>
      <sheetName val="Dunnett Table"/>
      <sheetName val="Dunnett 1"/>
      <sheetName val="Prime"/>
      <sheetName val="MSSD"/>
      <sheetName val="XRealStats"/>
    </sheetNames>
    <definedNames>
      <definedName name="CLUST_Converge"/>
      <definedName name="ClustAna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Hokusai3 Theme">
  <a:themeElements>
    <a:clrScheme name="Hokusai3 Palette">
      <a:dk1>
        <a:sysClr val="windowText" lastClr="000000"/>
      </a:dk1>
      <a:lt1>
        <a:sysClr val="window" lastClr="FFFFFF"/>
      </a:lt1>
      <a:dk2>
        <a:srgbClr val="44546A"/>
      </a:dk2>
      <a:lt2>
        <a:srgbClr val="E7E6E6"/>
      </a:lt2>
      <a:accent1>
        <a:srgbClr val="D9DA68"/>
      </a:accent1>
      <a:accent2>
        <a:srgbClr val="85C661"/>
      </a:accent2>
      <a:accent3>
        <a:srgbClr val="4DCCC4"/>
      </a:accent3>
      <a:accent4>
        <a:srgbClr val="4497C6"/>
      </a:accent4>
      <a:accent5>
        <a:srgbClr val="125086"/>
      </a:accent5>
      <a:accent6>
        <a:srgbClr val="002B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sumo.or.jp/EnHonbashoBanzuke/index/" TargetMode="External"/><Relationship Id="rId7" Type="http://schemas.openxmlformats.org/officeDocument/2006/relationships/drawing" Target="../drawings/drawing12.xml"/><Relationship Id="rId2" Type="http://schemas.openxmlformats.org/officeDocument/2006/relationships/hyperlink" Target="https://www.sumo.or.jp/EnHonbashoBanzuke/index/" TargetMode="External"/><Relationship Id="rId1" Type="http://schemas.openxmlformats.org/officeDocument/2006/relationships/hyperlink" Target="https://twitter.com/SumoFollower/status/1518933651962138624" TargetMode="External"/><Relationship Id="rId6" Type="http://schemas.openxmlformats.org/officeDocument/2006/relationships/printerSettings" Target="../printerSettings/printerSettings8.bin"/><Relationship Id="rId5" Type="http://schemas.openxmlformats.org/officeDocument/2006/relationships/hyperlink" Target="https://www.sumo.or.jp/EnHonbashoBanzuke/index/" TargetMode="External"/><Relationship Id="rId4" Type="http://schemas.openxmlformats.org/officeDocument/2006/relationships/hyperlink" Target="https://www.sumo.or.jp/EnHonbashoBanzuke/index/"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umo.or.jp/EnHonbashoBanzuke/inde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sumo.or.jp/EnHonbashoBanzuke/inde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sumo.or.jp/EnHonbashoBanzuke/index/"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sumo.or.jp/EnHonbashoBanzuke/inde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7DD38-AD06-4250-9520-A2F29B57D9C0}">
  <dimension ref="A2:Q45"/>
  <sheetViews>
    <sheetView zoomScale="106" zoomScaleNormal="106" workbookViewId="0">
      <pane xSplit="1" ySplit="3" topLeftCell="B9" activePane="bottomRight" state="frozen"/>
      <selection pane="topRight" activeCell="B1" sqref="B1"/>
      <selection pane="bottomLeft" activeCell="A4" sqref="A4"/>
      <selection pane="bottomRight" activeCell="L13" sqref="L13"/>
    </sheetView>
  </sheetViews>
  <sheetFormatPr defaultRowHeight="14.5"/>
  <cols>
    <col min="1" max="4" width="21.1796875" customWidth="1"/>
    <col min="7" max="7" width="11.26953125" bestFit="1" customWidth="1"/>
    <col min="8" max="8" width="8.7265625" style="4"/>
  </cols>
  <sheetData>
    <row r="2" spans="1:17">
      <c r="C2" t="s">
        <v>134</v>
      </c>
    </row>
    <row r="3" spans="1:17">
      <c r="A3" t="s">
        <v>3</v>
      </c>
      <c r="B3" t="s">
        <v>11</v>
      </c>
      <c r="C3" t="s">
        <v>131</v>
      </c>
      <c r="D3" t="s">
        <v>156</v>
      </c>
      <c r="E3" t="s">
        <v>5</v>
      </c>
      <c r="F3" t="s">
        <v>4</v>
      </c>
      <c r="G3" t="s">
        <v>26</v>
      </c>
      <c r="H3" s="4" t="s">
        <v>6</v>
      </c>
      <c r="I3" t="s">
        <v>7</v>
      </c>
      <c r="J3" t="s">
        <v>8</v>
      </c>
      <c r="K3" t="s">
        <v>9</v>
      </c>
      <c r="L3" t="s">
        <v>10</v>
      </c>
      <c r="Q3" s="14"/>
    </row>
    <row r="4" spans="1:17">
      <c r="A4" s="1" t="s">
        <v>86</v>
      </c>
      <c r="B4" s="1">
        <v>7</v>
      </c>
      <c r="C4" s="1" t="s">
        <v>14</v>
      </c>
      <c r="D4" s="1">
        <f>_xlfn.XLOOKUP(C4,'rank lookup'!$A$1:$A$21,'rank lookup'!$B$1:$B$21,,0)</f>
        <v>1</v>
      </c>
      <c r="E4" s="19">
        <v>192</v>
      </c>
      <c r="F4" s="19">
        <v>181</v>
      </c>
      <c r="G4" s="5">
        <f t="shared" ref="G4:G45" si="0">F4/(E4*E4)*10000</f>
        <v>49.099392361111107</v>
      </c>
      <c r="H4" s="4">
        <f t="shared" ref="H4:H45" si="1">CONVERT(E4,"cm","in")</f>
        <v>75.59055118110237</v>
      </c>
      <c r="I4">
        <f t="shared" ref="I4:I45" si="2">_xlfn.FLOOR.MATH(H4/12)</f>
        <v>6</v>
      </c>
      <c r="J4">
        <f t="shared" ref="J4:J45" si="3">ROUND(H4-I4*12,1)</f>
        <v>3.6</v>
      </c>
      <c r="K4" t="str">
        <f t="shared" ref="K4:K45" si="4">I4&amp;"' "&amp;J4&amp;""""</f>
        <v>6' 3.6"</v>
      </c>
      <c r="L4">
        <f t="shared" ref="L4:L45" si="5">ROUND(CONVERT(F4,"kg","lbm"),0)</f>
        <v>399</v>
      </c>
    </row>
    <row r="5" spans="1:17">
      <c r="A5" s="1" t="s">
        <v>123</v>
      </c>
      <c r="B5" s="1">
        <v>2</v>
      </c>
      <c r="C5" s="1" t="s">
        <v>39</v>
      </c>
      <c r="D5" s="1">
        <f>_xlfn.XLOOKUP(C5,'rank lookup'!$A$1:$A$21,'rank lookup'!$B$1:$B$21,,0)</f>
        <v>2</v>
      </c>
      <c r="E5" s="19">
        <v>175</v>
      </c>
      <c r="F5" s="19">
        <v>163</v>
      </c>
      <c r="G5" s="5">
        <f t="shared" si="0"/>
        <v>53.224489795918366</v>
      </c>
      <c r="H5" s="4">
        <f t="shared" si="1"/>
        <v>68.897637795275585</v>
      </c>
      <c r="I5">
        <f t="shared" si="2"/>
        <v>5</v>
      </c>
      <c r="J5">
        <f t="shared" si="3"/>
        <v>8.9</v>
      </c>
      <c r="K5" t="str">
        <f t="shared" si="4"/>
        <v>5' 8.9"</v>
      </c>
      <c r="L5">
        <f t="shared" si="5"/>
        <v>359</v>
      </c>
      <c r="M5" s="14"/>
    </row>
    <row r="6" spans="1:17">
      <c r="A6" s="1" t="s">
        <v>116</v>
      </c>
      <c r="B6" s="1">
        <v>2</v>
      </c>
      <c r="C6" s="1" t="s">
        <v>39</v>
      </c>
      <c r="D6" s="1">
        <f>_xlfn.XLOOKUP(C6,'rank lookup'!$A$1:$A$21,'rank lookup'!$B$1:$B$21,,0)</f>
        <v>2</v>
      </c>
      <c r="E6" s="19">
        <v>179</v>
      </c>
      <c r="F6" s="19">
        <v>171</v>
      </c>
      <c r="G6" s="5">
        <f t="shared" si="0"/>
        <v>53.369120813957117</v>
      </c>
      <c r="H6" s="4">
        <f t="shared" si="1"/>
        <v>70.472440944881896</v>
      </c>
      <c r="I6">
        <f t="shared" si="2"/>
        <v>5</v>
      </c>
      <c r="J6">
        <f t="shared" si="3"/>
        <v>10.5</v>
      </c>
      <c r="K6" t="str">
        <f t="shared" si="4"/>
        <v>5' 10.5"</v>
      </c>
      <c r="L6">
        <f t="shared" si="5"/>
        <v>377</v>
      </c>
    </row>
    <row r="7" spans="1:17">
      <c r="A7" s="1" t="s">
        <v>109</v>
      </c>
      <c r="B7" s="1">
        <v>1</v>
      </c>
      <c r="C7" s="1" t="s">
        <v>39</v>
      </c>
      <c r="D7" s="1">
        <f>_xlfn.XLOOKUP(C7,'rank lookup'!$A$1:$A$21,'rank lookup'!$B$1:$B$21,,0)</f>
        <v>2</v>
      </c>
      <c r="E7" s="19">
        <v>183</v>
      </c>
      <c r="F7" s="19">
        <v>162</v>
      </c>
      <c r="G7" s="5">
        <f t="shared" si="0"/>
        <v>48.374092985756519</v>
      </c>
      <c r="H7" s="4">
        <f t="shared" si="1"/>
        <v>72.047244094488192</v>
      </c>
      <c r="I7">
        <f t="shared" si="2"/>
        <v>6</v>
      </c>
      <c r="J7">
        <f t="shared" si="3"/>
        <v>0</v>
      </c>
      <c r="K7" t="str">
        <f t="shared" si="4"/>
        <v>6' 0"</v>
      </c>
      <c r="L7">
        <f t="shared" si="5"/>
        <v>357</v>
      </c>
    </row>
    <row r="8" spans="1:17">
      <c r="A8" s="1" t="s">
        <v>112</v>
      </c>
      <c r="B8" s="1">
        <v>1</v>
      </c>
      <c r="C8" s="1" t="s">
        <v>31</v>
      </c>
      <c r="D8" s="1">
        <f>_xlfn.XLOOKUP(C8,'rank lookup'!$A$1:$A$21,'rank lookup'!$B$1:$B$21,,0)</f>
        <v>3</v>
      </c>
      <c r="E8" s="19">
        <v>182</v>
      </c>
      <c r="F8" s="19">
        <v>161</v>
      </c>
      <c r="G8" s="5">
        <f t="shared" si="0"/>
        <v>48.605240912933226</v>
      </c>
      <c r="H8" s="4">
        <f t="shared" si="1"/>
        <v>71.653543307086608</v>
      </c>
      <c r="I8">
        <f t="shared" si="2"/>
        <v>5</v>
      </c>
      <c r="J8">
        <f t="shared" si="3"/>
        <v>11.7</v>
      </c>
      <c r="K8" t="str">
        <f t="shared" si="4"/>
        <v>5' 11.7"</v>
      </c>
      <c r="L8">
        <f t="shared" si="5"/>
        <v>355</v>
      </c>
    </row>
    <row r="9" spans="1:17">
      <c r="A9" s="1" t="s">
        <v>114</v>
      </c>
      <c r="B9" s="1"/>
      <c r="C9" s="1" t="s">
        <v>31</v>
      </c>
      <c r="D9" s="1">
        <f>_xlfn.XLOOKUP(C9,'rank lookup'!$A$1:$A$21,'rank lookup'!$B$1:$B$21,,0)</f>
        <v>3</v>
      </c>
      <c r="E9" s="19">
        <v>183</v>
      </c>
      <c r="F9" s="19">
        <v>132</v>
      </c>
      <c r="G9" s="5">
        <f t="shared" si="0"/>
        <v>39.415927618023829</v>
      </c>
      <c r="H9" s="4">
        <f t="shared" si="1"/>
        <v>72.047244094488192</v>
      </c>
      <c r="I9">
        <f t="shared" si="2"/>
        <v>6</v>
      </c>
      <c r="J9">
        <f t="shared" si="3"/>
        <v>0</v>
      </c>
      <c r="K9" t="str">
        <f t="shared" si="4"/>
        <v>6' 0"</v>
      </c>
      <c r="L9">
        <f t="shared" si="5"/>
        <v>291</v>
      </c>
    </row>
    <row r="10" spans="1:17">
      <c r="A10" s="1" t="s">
        <v>95</v>
      </c>
      <c r="B10" s="1"/>
      <c r="C10" s="1" t="s">
        <v>31</v>
      </c>
      <c r="D10" s="1">
        <f>_xlfn.XLOOKUP(C10,'rank lookup'!$A$1:$A$21,'rank lookup'!$B$1:$B$21,,0)</f>
        <v>3</v>
      </c>
      <c r="E10" s="19">
        <v>185</v>
      </c>
      <c r="F10" s="19">
        <v>140</v>
      </c>
      <c r="G10" s="5">
        <f t="shared" si="0"/>
        <v>40.905770635500367</v>
      </c>
      <c r="H10" s="4">
        <f t="shared" si="1"/>
        <v>72.834645669291348</v>
      </c>
      <c r="I10">
        <f t="shared" si="2"/>
        <v>6</v>
      </c>
      <c r="J10">
        <f t="shared" si="3"/>
        <v>0.8</v>
      </c>
      <c r="K10" t="str">
        <f t="shared" si="4"/>
        <v>6' 0.8"</v>
      </c>
      <c r="L10">
        <f t="shared" si="5"/>
        <v>309</v>
      </c>
    </row>
    <row r="11" spans="1:17">
      <c r="A11" s="1" t="s">
        <v>102</v>
      </c>
      <c r="B11" s="1"/>
      <c r="C11" s="1" t="s">
        <v>42</v>
      </c>
      <c r="D11" s="1">
        <f>_xlfn.XLOOKUP(C11,'rank lookup'!$A$1:$A$21,'rank lookup'!$B$1:$B$21,,0)</f>
        <v>4</v>
      </c>
      <c r="E11" s="19">
        <v>185</v>
      </c>
      <c r="F11" s="19">
        <v>138</v>
      </c>
      <c r="G11" s="5">
        <f t="shared" si="0"/>
        <v>40.321402483564647</v>
      </c>
      <c r="H11" s="4">
        <f t="shared" si="1"/>
        <v>72.834645669291348</v>
      </c>
      <c r="I11">
        <f t="shared" si="2"/>
        <v>6</v>
      </c>
      <c r="J11">
        <f t="shared" si="3"/>
        <v>0.8</v>
      </c>
      <c r="K11" t="str">
        <f t="shared" si="4"/>
        <v>6' 0.8"</v>
      </c>
      <c r="L11">
        <f t="shared" si="5"/>
        <v>304</v>
      </c>
    </row>
    <row r="12" spans="1:17">
      <c r="A12" s="1" t="s">
        <v>93</v>
      </c>
      <c r="B12" s="1"/>
      <c r="C12" s="1" t="s">
        <v>42</v>
      </c>
      <c r="D12" s="1">
        <f>_xlfn.XLOOKUP(C12,'rank lookup'!$A$1:$A$21,'rank lookup'!$B$1:$B$21,,0)</f>
        <v>4</v>
      </c>
      <c r="E12" s="19">
        <v>187</v>
      </c>
      <c r="F12" s="19">
        <v>151</v>
      </c>
      <c r="G12" s="5">
        <f t="shared" si="0"/>
        <v>43.181103262889984</v>
      </c>
      <c r="H12" s="4">
        <f t="shared" si="1"/>
        <v>73.622047244094489</v>
      </c>
      <c r="I12">
        <f t="shared" si="2"/>
        <v>6</v>
      </c>
      <c r="J12">
        <f t="shared" si="3"/>
        <v>1.6</v>
      </c>
      <c r="K12" t="str">
        <f t="shared" si="4"/>
        <v>6' 1.6"</v>
      </c>
      <c r="L12">
        <f t="shared" si="5"/>
        <v>333</v>
      </c>
    </row>
    <row r="13" spans="1:17">
      <c r="A13" s="1" t="s">
        <v>89</v>
      </c>
      <c r="B13" s="1">
        <v>1</v>
      </c>
      <c r="C13" s="1" t="s">
        <v>42</v>
      </c>
      <c r="D13" s="1">
        <f>_xlfn.XLOOKUP(C13,'rank lookup'!$A$1:$A$21,'rank lookup'!$B$1:$B$21,,0)</f>
        <v>4</v>
      </c>
      <c r="E13" s="19">
        <v>190</v>
      </c>
      <c r="F13" s="19">
        <v>212</v>
      </c>
      <c r="G13" s="5">
        <f t="shared" si="0"/>
        <v>58.725761772853183</v>
      </c>
      <c r="H13" s="4">
        <f t="shared" si="1"/>
        <v>74.803149606299215</v>
      </c>
      <c r="I13">
        <f t="shared" si="2"/>
        <v>6</v>
      </c>
      <c r="J13">
        <f t="shared" si="3"/>
        <v>2.8</v>
      </c>
      <c r="K13" t="str">
        <f t="shared" si="4"/>
        <v>6' 2.8"</v>
      </c>
      <c r="L13">
        <f t="shared" si="5"/>
        <v>467</v>
      </c>
    </row>
    <row r="14" spans="1:17">
      <c r="A14" s="1" t="s">
        <v>133</v>
      </c>
      <c r="C14" t="s">
        <v>132</v>
      </c>
      <c r="D14" s="1">
        <f>_xlfn.XLOOKUP(C14,'rank lookup'!$A$1:$A$21,'rank lookup'!$B$1:$B$21,,0)</f>
        <v>5</v>
      </c>
      <c r="E14" s="19">
        <v>171</v>
      </c>
      <c r="F14" s="19">
        <v>114</v>
      </c>
      <c r="G14" s="5">
        <f t="shared" si="0"/>
        <v>38.98635477582846</v>
      </c>
      <c r="H14" s="4">
        <f t="shared" si="1"/>
        <v>67.322834645669289</v>
      </c>
      <c r="I14">
        <f t="shared" si="2"/>
        <v>5</v>
      </c>
      <c r="J14">
        <f t="shared" si="3"/>
        <v>7.3</v>
      </c>
      <c r="K14" t="str">
        <f t="shared" si="4"/>
        <v>5' 7.3"</v>
      </c>
      <c r="L14">
        <f t="shared" si="5"/>
        <v>251</v>
      </c>
    </row>
    <row r="15" spans="1:17">
      <c r="A15" s="1" t="s">
        <v>124</v>
      </c>
      <c r="B15" s="1"/>
      <c r="C15" s="1" t="s">
        <v>132</v>
      </c>
      <c r="D15" s="1">
        <f>_xlfn.XLOOKUP(C15,'rank lookup'!$A$1:$A$21,'rank lookup'!$B$1:$B$21,,0)</f>
        <v>5</v>
      </c>
      <c r="E15" s="19">
        <v>174</v>
      </c>
      <c r="F15" s="19">
        <v>133</v>
      </c>
      <c r="G15" s="5">
        <f t="shared" si="0"/>
        <v>43.929184832870916</v>
      </c>
      <c r="H15" s="4">
        <f t="shared" si="1"/>
        <v>68.503937007874015</v>
      </c>
      <c r="I15">
        <f t="shared" si="2"/>
        <v>5</v>
      </c>
      <c r="J15">
        <f t="shared" si="3"/>
        <v>8.5</v>
      </c>
      <c r="K15" t="str">
        <f t="shared" si="4"/>
        <v>5' 8.5"</v>
      </c>
      <c r="L15">
        <f t="shared" si="5"/>
        <v>293</v>
      </c>
    </row>
    <row r="16" spans="1:17">
      <c r="A16" s="1" t="s">
        <v>117</v>
      </c>
      <c r="B16" s="1"/>
      <c r="C16" s="1" t="s">
        <v>136</v>
      </c>
      <c r="D16" s="1">
        <f>_xlfn.XLOOKUP(C16,'rank lookup'!$A$1:$A$21,'rank lookup'!$B$1:$B$21,,0)</f>
        <v>6</v>
      </c>
      <c r="E16" s="19">
        <v>180</v>
      </c>
      <c r="F16" s="19">
        <v>153</v>
      </c>
      <c r="G16" s="5">
        <f t="shared" si="0"/>
        <v>47.222222222222221</v>
      </c>
      <c r="H16" s="4">
        <f t="shared" si="1"/>
        <v>70.866141732283467</v>
      </c>
      <c r="I16">
        <f t="shared" si="2"/>
        <v>5</v>
      </c>
      <c r="J16">
        <f t="shared" si="3"/>
        <v>10.9</v>
      </c>
      <c r="K16" t="str">
        <f t="shared" si="4"/>
        <v>5' 10.9"</v>
      </c>
      <c r="L16">
        <f t="shared" si="5"/>
        <v>337</v>
      </c>
    </row>
    <row r="17" spans="1:12">
      <c r="A17" s="1" t="s">
        <v>94</v>
      </c>
      <c r="B17" s="1"/>
      <c r="C17" s="1" t="s">
        <v>136</v>
      </c>
      <c r="D17" s="1">
        <f>_xlfn.XLOOKUP(C17,'rank lookup'!$A$1:$A$21,'rank lookup'!$B$1:$B$21,,0)</f>
        <v>6</v>
      </c>
      <c r="E17" s="19">
        <v>189</v>
      </c>
      <c r="F17" s="19">
        <v>167</v>
      </c>
      <c r="G17" s="5">
        <f t="shared" si="0"/>
        <v>46.751210772374797</v>
      </c>
      <c r="H17" s="4">
        <f t="shared" si="1"/>
        <v>74.409448818897644</v>
      </c>
      <c r="I17">
        <f t="shared" si="2"/>
        <v>6</v>
      </c>
      <c r="J17">
        <f t="shared" si="3"/>
        <v>2.4</v>
      </c>
      <c r="K17" t="str">
        <f t="shared" si="4"/>
        <v>6' 2.4"</v>
      </c>
      <c r="L17">
        <f t="shared" si="5"/>
        <v>368</v>
      </c>
    </row>
    <row r="18" spans="1:12">
      <c r="A18" s="1" t="s">
        <v>121</v>
      </c>
      <c r="B18" s="1"/>
      <c r="C18" s="1" t="s">
        <v>137</v>
      </c>
      <c r="D18" s="1">
        <f>_xlfn.XLOOKUP(C18,'rank lookup'!$A$1:$A$21,'rank lookup'!$B$1:$B$21,,0)</f>
        <v>7</v>
      </c>
      <c r="E18" s="19">
        <v>175</v>
      </c>
      <c r="F18" s="19">
        <v>151</v>
      </c>
      <c r="G18" s="5">
        <f t="shared" si="0"/>
        <v>49.306122448979593</v>
      </c>
      <c r="H18" s="4">
        <f t="shared" si="1"/>
        <v>68.897637795275585</v>
      </c>
      <c r="I18">
        <f t="shared" si="2"/>
        <v>5</v>
      </c>
      <c r="J18">
        <f t="shared" si="3"/>
        <v>8.9</v>
      </c>
      <c r="K18" t="str">
        <f t="shared" si="4"/>
        <v>5' 8.9"</v>
      </c>
      <c r="L18">
        <f t="shared" si="5"/>
        <v>333</v>
      </c>
    </row>
    <row r="19" spans="1:12">
      <c r="A19" s="1" t="s">
        <v>92</v>
      </c>
      <c r="B19" s="1">
        <v>1</v>
      </c>
      <c r="C19" s="1" t="s">
        <v>137</v>
      </c>
      <c r="D19" s="1">
        <f>_xlfn.XLOOKUP(C19,'rank lookup'!$A$1:$A$21,'rank lookup'!$B$1:$B$21,,0)</f>
        <v>7</v>
      </c>
      <c r="E19" s="19">
        <v>189</v>
      </c>
      <c r="F19" s="19">
        <v>174</v>
      </c>
      <c r="G19" s="5">
        <f t="shared" si="0"/>
        <v>48.710842361636011</v>
      </c>
      <c r="H19" s="4">
        <f t="shared" si="1"/>
        <v>74.409448818897644</v>
      </c>
      <c r="I19">
        <f t="shared" si="2"/>
        <v>6</v>
      </c>
      <c r="J19">
        <f t="shared" si="3"/>
        <v>2.4</v>
      </c>
      <c r="K19" t="str">
        <f t="shared" si="4"/>
        <v>6' 2.4"</v>
      </c>
      <c r="L19">
        <f t="shared" si="5"/>
        <v>384</v>
      </c>
    </row>
    <row r="20" spans="1:12">
      <c r="A20" s="1" t="s">
        <v>138</v>
      </c>
      <c r="C20" s="1" t="s">
        <v>139</v>
      </c>
      <c r="D20" s="1">
        <f>_xlfn.XLOOKUP(C20,'rank lookup'!$A$1:$A$21,'rank lookup'!$B$1:$B$21,,0)</f>
        <v>8</v>
      </c>
      <c r="E20" s="19">
        <v>184</v>
      </c>
      <c r="F20" s="19">
        <v>170</v>
      </c>
      <c r="G20" s="5">
        <f t="shared" si="0"/>
        <v>50.21266540642722</v>
      </c>
      <c r="H20" s="4">
        <f t="shared" si="1"/>
        <v>72.440944881889763</v>
      </c>
      <c r="I20">
        <f t="shared" si="2"/>
        <v>6</v>
      </c>
      <c r="J20">
        <f t="shared" si="3"/>
        <v>0.4</v>
      </c>
      <c r="K20" t="str">
        <f t="shared" si="4"/>
        <v>6' 0.4"</v>
      </c>
      <c r="L20">
        <f t="shared" si="5"/>
        <v>375</v>
      </c>
    </row>
    <row r="21" spans="1:12">
      <c r="A21" s="1" t="s">
        <v>96</v>
      </c>
      <c r="B21" s="1"/>
      <c r="C21" s="1" t="s">
        <v>139</v>
      </c>
      <c r="D21" s="1">
        <f>_xlfn.XLOOKUP(C21,'rank lookup'!$A$1:$A$21,'rank lookup'!$B$1:$B$21,,0)</f>
        <v>8</v>
      </c>
      <c r="E21" s="19">
        <v>186</v>
      </c>
      <c r="F21" s="19">
        <v>182</v>
      </c>
      <c r="G21" s="5">
        <f t="shared" si="0"/>
        <v>52.607237830963122</v>
      </c>
      <c r="H21" s="4">
        <f t="shared" si="1"/>
        <v>73.228346456692918</v>
      </c>
      <c r="I21">
        <f t="shared" si="2"/>
        <v>6</v>
      </c>
      <c r="J21">
        <f t="shared" si="3"/>
        <v>1.2</v>
      </c>
      <c r="K21" t="str">
        <f t="shared" si="4"/>
        <v>6' 1.2"</v>
      </c>
      <c r="L21">
        <f t="shared" si="5"/>
        <v>401</v>
      </c>
    </row>
    <row r="22" spans="1:12">
      <c r="A22" s="1" t="s">
        <v>111</v>
      </c>
      <c r="B22" s="1"/>
      <c r="C22" s="1" t="s">
        <v>140</v>
      </c>
      <c r="D22" s="1">
        <f>_xlfn.XLOOKUP(C22,'rank lookup'!$A$1:$A$21,'rank lookup'!$B$1:$B$21,,0)</f>
        <v>9</v>
      </c>
      <c r="E22" s="19">
        <v>182</v>
      </c>
      <c r="F22" s="19">
        <v>141</v>
      </c>
      <c r="G22" s="5">
        <f t="shared" si="0"/>
        <v>42.567322787103002</v>
      </c>
      <c r="H22" s="4">
        <f t="shared" si="1"/>
        <v>71.653543307086608</v>
      </c>
      <c r="I22">
        <f t="shared" si="2"/>
        <v>5</v>
      </c>
      <c r="J22">
        <f t="shared" si="3"/>
        <v>11.7</v>
      </c>
      <c r="K22" t="str">
        <f t="shared" si="4"/>
        <v>5' 11.7"</v>
      </c>
      <c r="L22">
        <f t="shared" si="5"/>
        <v>311</v>
      </c>
    </row>
    <row r="23" spans="1:12">
      <c r="A23" s="1" t="s">
        <v>104</v>
      </c>
      <c r="B23" s="1"/>
      <c r="C23" s="1" t="s">
        <v>140</v>
      </c>
      <c r="D23" s="1">
        <f>_xlfn.XLOOKUP(C23,'rank lookup'!$A$1:$A$21,'rank lookup'!$B$1:$B$21,,0)</f>
        <v>9</v>
      </c>
      <c r="E23" s="19">
        <v>186</v>
      </c>
      <c r="F23" s="19">
        <v>166</v>
      </c>
      <c r="G23" s="5">
        <f t="shared" si="0"/>
        <v>47.982425713955372</v>
      </c>
      <c r="H23" s="4">
        <f t="shared" si="1"/>
        <v>73.228346456692918</v>
      </c>
      <c r="I23">
        <f t="shared" si="2"/>
        <v>6</v>
      </c>
      <c r="J23">
        <f t="shared" si="3"/>
        <v>1.2</v>
      </c>
      <c r="K23" t="str">
        <f t="shared" si="4"/>
        <v>6' 1.2"</v>
      </c>
      <c r="L23">
        <f t="shared" si="5"/>
        <v>366</v>
      </c>
    </row>
    <row r="24" spans="1:12">
      <c r="A24" s="1" t="s">
        <v>99</v>
      </c>
      <c r="B24" s="1"/>
      <c r="C24" s="1" t="s">
        <v>141</v>
      </c>
      <c r="D24" s="1">
        <f>_xlfn.XLOOKUP(C24,'rank lookup'!$A$1:$A$21,'rank lookup'!$B$1:$B$21,,0)</f>
        <v>10</v>
      </c>
      <c r="E24" s="19">
        <v>183</v>
      </c>
      <c r="F24" s="19">
        <v>149</v>
      </c>
      <c r="G24" s="5">
        <f t="shared" si="0"/>
        <v>44.492221326405691</v>
      </c>
      <c r="H24" s="4">
        <f t="shared" si="1"/>
        <v>72.047244094488192</v>
      </c>
      <c r="I24">
        <f t="shared" si="2"/>
        <v>6</v>
      </c>
      <c r="J24">
        <f t="shared" si="3"/>
        <v>0</v>
      </c>
      <c r="K24" t="str">
        <f t="shared" si="4"/>
        <v>6' 0"</v>
      </c>
      <c r="L24">
        <f t="shared" si="5"/>
        <v>328</v>
      </c>
    </row>
    <row r="25" spans="1:12">
      <c r="A25" s="1" t="s">
        <v>100</v>
      </c>
      <c r="B25" s="1"/>
      <c r="C25" s="1" t="s">
        <v>141</v>
      </c>
      <c r="D25" s="1">
        <f>_xlfn.XLOOKUP(C25,'rank lookup'!$A$1:$A$21,'rank lookup'!$B$1:$B$21,,0)</f>
        <v>10</v>
      </c>
      <c r="E25" s="19">
        <v>186</v>
      </c>
      <c r="F25" s="19">
        <v>135</v>
      </c>
      <c r="G25" s="5">
        <f t="shared" si="0"/>
        <v>39.021852237252858</v>
      </c>
      <c r="H25" s="4">
        <f t="shared" si="1"/>
        <v>73.228346456692918</v>
      </c>
      <c r="I25">
        <f t="shared" si="2"/>
        <v>6</v>
      </c>
      <c r="J25">
        <f t="shared" si="3"/>
        <v>1.2</v>
      </c>
      <c r="K25" t="str">
        <f t="shared" si="4"/>
        <v>6' 1.2"</v>
      </c>
      <c r="L25">
        <f t="shared" si="5"/>
        <v>298</v>
      </c>
    </row>
    <row r="26" spans="1:12">
      <c r="A26" s="1" t="s">
        <v>120</v>
      </c>
      <c r="B26" s="1"/>
      <c r="C26" s="1" t="s">
        <v>135</v>
      </c>
      <c r="D26" s="1">
        <f>_xlfn.XLOOKUP(C26,'rank lookup'!$A$1:$A$21,'rank lookup'!$B$1:$B$21,,0)</f>
        <v>11</v>
      </c>
      <c r="E26" s="19">
        <v>178</v>
      </c>
      <c r="F26" s="19">
        <v>162</v>
      </c>
      <c r="G26" s="5">
        <f t="shared" si="0"/>
        <v>51.129907839919206</v>
      </c>
      <c r="H26" s="4">
        <f t="shared" si="1"/>
        <v>70.078740157480311</v>
      </c>
      <c r="I26">
        <f t="shared" si="2"/>
        <v>5</v>
      </c>
      <c r="J26">
        <f t="shared" si="3"/>
        <v>10.1</v>
      </c>
      <c r="K26" t="str">
        <f t="shared" si="4"/>
        <v>5' 10.1"</v>
      </c>
      <c r="L26">
        <f t="shared" si="5"/>
        <v>357</v>
      </c>
    </row>
    <row r="27" spans="1:12">
      <c r="A27" s="1" t="s">
        <v>91</v>
      </c>
      <c r="B27" s="1"/>
      <c r="C27" s="1" t="s">
        <v>135</v>
      </c>
      <c r="D27" s="1">
        <f>_xlfn.XLOOKUP(C27,'rank lookup'!$A$1:$A$21,'rank lookup'!$B$1:$B$21,,0)</f>
        <v>11</v>
      </c>
      <c r="E27" s="19">
        <v>190</v>
      </c>
      <c r="F27" s="19">
        <v>186</v>
      </c>
      <c r="G27" s="5">
        <f t="shared" si="0"/>
        <v>51.523545706371188</v>
      </c>
      <c r="H27" s="4">
        <f t="shared" si="1"/>
        <v>74.803149606299215</v>
      </c>
      <c r="I27">
        <f t="shared" si="2"/>
        <v>6</v>
      </c>
      <c r="J27">
        <f t="shared" si="3"/>
        <v>2.8</v>
      </c>
      <c r="K27" t="str">
        <f t="shared" si="4"/>
        <v>6' 2.8"</v>
      </c>
      <c r="L27">
        <f t="shared" si="5"/>
        <v>410</v>
      </c>
    </row>
    <row r="28" spans="1:12">
      <c r="A28" s="1" t="s">
        <v>103</v>
      </c>
      <c r="B28" s="1"/>
      <c r="C28" s="1" t="s">
        <v>142</v>
      </c>
      <c r="D28" s="1">
        <f>_xlfn.XLOOKUP(C28,'rank lookup'!$A$1:$A$21,'rank lookup'!$B$1:$B$21,,0)</f>
        <v>12</v>
      </c>
      <c r="E28" s="19">
        <v>184</v>
      </c>
      <c r="F28" s="19">
        <v>161</v>
      </c>
      <c r="G28" s="5">
        <f t="shared" si="0"/>
        <v>47.554347826086961</v>
      </c>
      <c r="H28" s="4">
        <f t="shared" si="1"/>
        <v>72.440944881889763</v>
      </c>
      <c r="I28">
        <f t="shared" si="2"/>
        <v>6</v>
      </c>
      <c r="J28">
        <f t="shared" si="3"/>
        <v>0.4</v>
      </c>
      <c r="K28" t="str">
        <f t="shared" si="4"/>
        <v>6' 0.4"</v>
      </c>
      <c r="L28">
        <f t="shared" si="5"/>
        <v>355</v>
      </c>
    </row>
    <row r="29" spans="1:12">
      <c r="A29" s="1" t="s">
        <v>87</v>
      </c>
      <c r="B29" s="1">
        <v>1</v>
      </c>
      <c r="C29" s="1" t="s">
        <v>142</v>
      </c>
      <c r="D29" s="1">
        <f>_xlfn.XLOOKUP(C29,'rank lookup'!$A$1:$A$21,'rank lookup'!$B$1:$B$21,,0)</f>
        <v>12</v>
      </c>
      <c r="E29" s="19">
        <v>192</v>
      </c>
      <c r="F29" s="19">
        <v>179</v>
      </c>
      <c r="G29" s="5">
        <f t="shared" si="0"/>
        <v>48.556857638888893</v>
      </c>
      <c r="H29" s="4">
        <f t="shared" si="1"/>
        <v>75.59055118110237</v>
      </c>
      <c r="I29">
        <f t="shared" si="2"/>
        <v>6</v>
      </c>
      <c r="J29">
        <f t="shared" si="3"/>
        <v>3.6</v>
      </c>
      <c r="K29" t="str">
        <f t="shared" si="4"/>
        <v>6' 3.6"</v>
      </c>
      <c r="L29">
        <f t="shared" si="5"/>
        <v>395</v>
      </c>
    </row>
    <row r="30" spans="1:12">
      <c r="A30" s="1" t="s">
        <v>122</v>
      </c>
      <c r="B30" s="1"/>
      <c r="C30" s="1" t="s">
        <v>143</v>
      </c>
      <c r="D30" s="1">
        <f>_xlfn.XLOOKUP(C30,'rank lookup'!$A$1:$A$21,'rank lookup'!$B$1:$B$21,,0)</f>
        <v>13</v>
      </c>
      <c r="E30" s="19">
        <v>176</v>
      </c>
      <c r="F30" s="19">
        <v>131</v>
      </c>
      <c r="G30" s="5">
        <f t="shared" si="0"/>
        <v>42.290805785123965</v>
      </c>
      <c r="H30" s="4">
        <f t="shared" si="1"/>
        <v>69.29133858267717</v>
      </c>
      <c r="I30">
        <f t="shared" si="2"/>
        <v>5</v>
      </c>
      <c r="J30">
        <f t="shared" si="3"/>
        <v>9.3000000000000007</v>
      </c>
      <c r="K30" t="str">
        <f t="shared" si="4"/>
        <v>5' 9.3"</v>
      </c>
      <c r="L30">
        <f t="shared" si="5"/>
        <v>289</v>
      </c>
    </row>
    <row r="31" spans="1:12">
      <c r="A31" s="1" t="s">
        <v>97</v>
      </c>
      <c r="B31" s="1"/>
      <c r="C31" s="1" t="s">
        <v>143</v>
      </c>
      <c r="D31" s="1">
        <f>_xlfn.XLOOKUP(C31,'rank lookup'!$A$1:$A$21,'rank lookup'!$B$1:$B$21,,0)</f>
        <v>13</v>
      </c>
      <c r="E31" s="19">
        <v>189</v>
      </c>
      <c r="F31" s="19">
        <v>154</v>
      </c>
      <c r="G31" s="5">
        <f t="shared" si="0"/>
        <v>43.111894963746821</v>
      </c>
      <c r="H31" s="4">
        <f t="shared" si="1"/>
        <v>74.409448818897644</v>
      </c>
      <c r="I31">
        <f t="shared" si="2"/>
        <v>6</v>
      </c>
      <c r="J31">
        <f t="shared" si="3"/>
        <v>2.4</v>
      </c>
      <c r="K31" t="str">
        <f t="shared" si="4"/>
        <v>6' 2.4"</v>
      </c>
      <c r="L31">
        <f t="shared" si="5"/>
        <v>340</v>
      </c>
    </row>
    <row r="32" spans="1:12">
      <c r="A32" t="s">
        <v>144</v>
      </c>
      <c r="C32" s="1" t="s">
        <v>145</v>
      </c>
      <c r="D32" s="1">
        <f>_xlfn.XLOOKUP(C32,'rank lookup'!$A$1:$A$21,'rank lookup'!$B$1:$B$21,,0)</f>
        <v>14</v>
      </c>
      <c r="E32" s="19">
        <v>184</v>
      </c>
      <c r="F32" s="19">
        <v>148</v>
      </c>
      <c r="G32" s="5">
        <f t="shared" si="0"/>
        <v>43.714555765595463</v>
      </c>
      <c r="H32" s="4">
        <f t="shared" si="1"/>
        <v>72.440944881889763</v>
      </c>
      <c r="I32">
        <f t="shared" si="2"/>
        <v>6</v>
      </c>
      <c r="J32">
        <f t="shared" si="3"/>
        <v>0.4</v>
      </c>
      <c r="K32" t="str">
        <f t="shared" si="4"/>
        <v>6' 0.4"</v>
      </c>
      <c r="L32">
        <f t="shared" si="5"/>
        <v>326</v>
      </c>
    </row>
    <row r="33" spans="1:12">
      <c r="A33" s="1" t="s">
        <v>101</v>
      </c>
      <c r="B33" s="1"/>
      <c r="C33" s="1" t="s">
        <v>145</v>
      </c>
      <c r="D33" s="1">
        <f>_xlfn.XLOOKUP(C33,'rank lookup'!$A$1:$A$21,'rank lookup'!$B$1:$B$21,,0)</f>
        <v>14</v>
      </c>
      <c r="E33" s="19">
        <v>184</v>
      </c>
      <c r="F33" s="19">
        <v>167</v>
      </c>
      <c r="G33" s="5">
        <f t="shared" si="0"/>
        <v>49.326559546313803</v>
      </c>
      <c r="H33" s="4">
        <f t="shared" si="1"/>
        <v>72.440944881889763</v>
      </c>
      <c r="I33">
        <f t="shared" si="2"/>
        <v>6</v>
      </c>
      <c r="J33">
        <f t="shared" si="3"/>
        <v>0.4</v>
      </c>
      <c r="K33" t="str">
        <f t="shared" si="4"/>
        <v>6' 0.4"</v>
      </c>
      <c r="L33">
        <f t="shared" si="5"/>
        <v>368</v>
      </c>
    </row>
    <row r="34" spans="1:12">
      <c r="A34" s="1" t="s">
        <v>113</v>
      </c>
      <c r="B34" s="1"/>
      <c r="C34" s="1" t="s">
        <v>147</v>
      </c>
      <c r="D34" s="1">
        <f>_xlfn.XLOOKUP(C34,'rank lookup'!$A$1:$A$21,'rank lookup'!$B$1:$B$21,,0)</f>
        <v>15</v>
      </c>
      <c r="E34" s="19">
        <v>181</v>
      </c>
      <c r="F34" s="19">
        <v>189</v>
      </c>
      <c r="G34" s="5">
        <f t="shared" si="0"/>
        <v>57.690546686609082</v>
      </c>
      <c r="H34" s="4">
        <f t="shared" si="1"/>
        <v>71.259842519685037</v>
      </c>
      <c r="I34">
        <f t="shared" si="2"/>
        <v>5</v>
      </c>
      <c r="J34">
        <f t="shared" si="3"/>
        <v>11.3</v>
      </c>
      <c r="K34" t="str">
        <f t="shared" si="4"/>
        <v>5' 11.3"</v>
      </c>
      <c r="L34">
        <f t="shared" si="5"/>
        <v>417</v>
      </c>
    </row>
    <row r="35" spans="1:12">
      <c r="A35" t="s">
        <v>146</v>
      </c>
      <c r="C35" s="1" t="s">
        <v>147</v>
      </c>
      <c r="D35" s="1">
        <f>_xlfn.XLOOKUP(C35,'rank lookup'!$A$1:$A$21,'rank lookup'!$B$1:$B$21,,0)</f>
        <v>15</v>
      </c>
      <c r="E35" s="19">
        <v>189</v>
      </c>
      <c r="F35" s="19">
        <v>158</v>
      </c>
      <c r="G35" s="5">
        <f t="shared" si="0"/>
        <v>44.23168444332466</v>
      </c>
      <c r="H35" s="4">
        <f t="shared" si="1"/>
        <v>74.409448818897644</v>
      </c>
      <c r="I35">
        <f t="shared" si="2"/>
        <v>6</v>
      </c>
      <c r="J35">
        <f t="shared" si="3"/>
        <v>2.4</v>
      </c>
      <c r="K35" t="str">
        <f t="shared" si="4"/>
        <v>6' 2.4"</v>
      </c>
      <c r="L35">
        <f t="shared" si="5"/>
        <v>348</v>
      </c>
    </row>
    <row r="36" spans="1:12">
      <c r="A36" t="s">
        <v>149</v>
      </c>
      <c r="C36" s="1" t="s">
        <v>148</v>
      </c>
      <c r="D36" s="1">
        <f>_xlfn.XLOOKUP(C36,'rank lookup'!$A$1:$A$21,'rank lookup'!$B$1:$B$21,,0)</f>
        <v>16</v>
      </c>
      <c r="E36" s="20">
        <v>187</v>
      </c>
      <c r="F36" s="19">
        <v>154</v>
      </c>
      <c r="G36" s="5">
        <f t="shared" si="0"/>
        <v>44.039005976722237</v>
      </c>
      <c r="H36" s="4">
        <f t="shared" si="1"/>
        <v>73.622047244094489</v>
      </c>
      <c r="I36">
        <f t="shared" si="2"/>
        <v>6</v>
      </c>
      <c r="J36">
        <f t="shared" si="3"/>
        <v>1.6</v>
      </c>
      <c r="K36" t="str">
        <f t="shared" si="4"/>
        <v>6' 1.6"</v>
      </c>
      <c r="L36">
        <f t="shared" si="5"/>
        <v>340</v>
      </c>
    </row>
    <row r="37" spans="1:12">
      <c r="A37" s="1" t="s">
        <v>90</v>
      </c>
      <c r="B37" s="1"/>
      <c r="C37" s="1" t="s">
        <v>148</v>
      </c>
      <c r="D37" s="1">
        <f>_xlfn.XLOOKUP(C37,'rank lookup'!$A$1:$A$21,'rank lookup'!$B$1:$B$21,,0)</f>
        <v>16</v>
      </c>
      <c r="E37" s="19">
        <v>189</v>
      </c>
      <c r="F37" s="19">
        <v>156</v>
      </c>
      <c r="G37" s="5">
        <f t="shared" si="0"/>
        <v>43.671789703535737</v>
      </c>
      <c r="H37" s="4">
        <f t="shared" si="1"/>
        <v>74.409448818897644</v>
      </c>
      <c r="I37">
        <f t="shared" si="2"/>
        <v>6</v>
      </c>
      <c r="J37">
        <f t="shared" si="3"/>
        <v>2.4</v>
      </c>
      <c r="K37" t="str">
        <f t="shared" si="4"/>
        <v>6' 2.4"</v>
      </c>
      <c r="L37">
        <f t="shared" si="5"/>
        <v>344</v>
      </c>
    </row>
    <row r="38" spans="1:12">
      <c r="A38" s="1" t="s">
        <v>98</v>
      </c>
      <c r="B38" s="1"/>
      <c r="C38" s="1" t="s">
        <v>150</v>
      </c>
      <c r="D38" s="1">
        <f>_xlfn.XLOOKUP(C38,'rank lookup'!$A$1:$A$21,'rank lookup'!$B$1:$B$21,,0)</f>
        <v>17</v>
      </c>
      <c r="E38" s="19">
        <v>187</v>
      </c>
      <c r="F38" s="19">
        <v>145</v>
      </c>
      <c r="G38" s="5">
        <f t="shared" si="0"/>
        <v>41.465297835225485</v>
      </c>
      <c r="H38" s="4">
        <f t="shared" si="1"/>
        <v>73.622047244094489</v>
      </c>
      <c r="I38">
        <f t="shared" si="2"/>
        <v>6</v>
      </c>
      <c r="J38">
        <f t="shared" si="3"/>
        <v>1.6</v>
      </c>
      <c r="K38" t="str">
        <f t="shared" si="4"/>
        <v>6' 1.6"</v>
      </c>
      <c r="L38">
        <f t="shared" si="5"/>
        <v>320</v>
      </c>
    </row>
    <row r="39" spans="1:12">
      <c r="A39" s="1" t="s">
        <v>88</v>
      </c>
      <c r="B39" s="1"/>
      <c r="C39" s="1" t="s">
        <v>150</v>
      </c>
      <c r="D39" s="1">
        <f>_xlfn.XLOOKUP(C39,'rank lookup'!$A$1:$A$21,'rank lookup'!$B$1:$B$21,,0)</f>
        <v>17</v>
      </c>
      <c r="E39" s="19">
        <v>189</v>
      </c>
      <c r="F39" s="19">
        <v>176</v>
      </c>
      <c r="G39" s="5">
        <f t="shared" si="0"/>
        <v>49.270737101424935</v>
      </c>
      <c r="H39" s="4">
        <f t="shared" si="1"/>
        <v>74.409448818897644</v>
      </c>
      <c r="I39">
        <f t="shared" si="2"/>
        <v>6</v>
      </c>
      <c r="J39">
        <f t="shared" si="3"/>
        <v>2.4</v>
      </c>
      <c r="K39" t="str">
        <f t="shared" si="4"/>
        <v>6' 2.4"</v>
      </c>
      <c r="L39">
        <f t="shared" si="5"/>
        <v>388</v>
      </c>
    </row>
    <row r="40" spans="1:12">
      <c r="A40" s="1" t="s">
        <v>110</v>
      </c>
      <c r="B40" s="1"/>
      <c r="C40" s="1" t="s">
        <v>151</v>
      </c>
      <c r="D40" s="1">
        <f>_xlfn.XLOOKUP(C40,'rank lookup'!$A$1:$A$21,'rank lookup'!$B$1:$B$21,,0)</f>
        <v>18</v>
      </c>
      <c r="E40" s="19">
        <v>183</v>
      </c>
      <c r="F40" s="19">
        <v>135</v>
      </c>
      <c r="G40" s="5">
        <f t="shared" si="0"/>
        <v>40.311744154797097</v>
      </c>
      <c r="H40" s="4">
        <f t="shared" si="1"/>
        <v>72.047244094488192</v>
      </c>
      <c r="I40">
        <f t="shared" si="2"/>
        <v>6</v>
      </c>
      <c r="J40">
        <f t="shared" si="3"/>
        <v>0</v>
      </c>
      <c r="K40" t="str">
        <f t="shared" si="4"/>
        <v>6' 0"</v>
      </c>
      <c r="L40">
        <f t="shared" si="5"/>
        <v>298</v>
      </c>
    </row>
    <row r="41" spans="1:12">
      <c r="A41" s="1" t="s">
        <v>107</v>
      </c>
      <c r="B41" s="1"/>
      <c r="C41" s="1" t="s">
        <v>151</v>
      </c>
      <c r="D41" s="1">
        <f>_xlfn.XLOOKUP(C41,'rank lookup'!$A$1:$A$21,'rank lookup'!$B$1:$B$21,,0)</f>
        <v>18</v>
      </c>
      <c r="E41" s="19">
        <v>185</v>
      </c>
      <c r="F41" s="19">
        <v>181</v>
      </c>
      <c r="G41" s="5">
        <f t="shared" si="0"/>
        <v>52.885317750182615</v>
      </c>
      <c r="H41" s="4">
        <f t="shared" si="1"/>
        <v>72.834645669291348</v>
      </c>
      <c r="I41">
        <f t="shared" si="2"/>
        <v>6</v>
      </c>
      <c r="J41">
        <f t="shared" si="3"/>
        <v>0.8</v>
      </c>
      <c r="K41" t="str">
        <f t="shared" si="4"/>
        <v>6' 0.8"</v>
      </c>
      <c r="L41">
        <f t="shared" si="5"/>
        <v>399</v>
      </c>
    </row>
    <row r="42" spans="1:12">
      <c r="A42" s="1" t="s">
        <v>126</v>
      </c>
      <c r="B42" s="1"/>
      <c r="C42" s="1" t="s">
        <v>152</v>
      </c>
      <c r="D42" s="1">
        <f>_xlfn.XLOOKUP(C42,'rank lookup'!$A$1:$A$21,'rank lookup'!$B$1:$B$21,,0)</f>
        <v>19</v>
      </c>
      <c r="E42" s="19">
        <v>169</v>
      </c>
      <c r="F42" s="19">
        <v>107</v>
      </c>
      <c r="G42" s="5">
        <f t="shared" si="0"/>
        <v>37.463674241098005</v>
      </c>
      <c r="H42" s="4">
        <f t="shared" si="1"/>
        <v>66.535433070866134</v>
      </c>
      <c r="I42">
        <f t="shared" si="2"/>
        <v>5</v>
      </c>
      <c r="J42">
        <f t="shared" si="3"/>
        <v>6.5</v>
      </c>
      <c r="K42" t="str">
        <f t="shared" si="4"/>
        <v>5' 6.5"</v>
      </c>
      <c r="L42">
        <f t="shared" si="5"/>
        <v>236</v>
      </c>
    </row>
    <row r="43" spans="1:12">
      <c r="A43" s="1" t="s">
        <v>108</v>
      </c>
      <c r="B43" s="1"/>
      <c r="C43" s="1" t="s">
        <v>152</v>
      </c>
      <c r="D43" s="1">
        <f>_xlfn.XLOOKUP(C43,'rank lookup'!$A$1:$A$21,'rank lookup'!$B$1:$B$21,,0)</f>
        <v>19</v>
      </c>
      <c r="E43" s="19">
        <v>184</v>
      </c>
      <c r="F43" s="19">
        <v>200</v>
      </c>
      <c r="G43" s="5">
        <f t="shared" si="0"/>
        <v>59.073724007561438</v>
      </c>
      <c r="H43" s="4">
        <f t="shared" si="1"/>
        <v>72.440944881889763</v>
      </c>
      <c r="I43">
        <f t="shared" si="2"/>
        <v>6</v>
      </c>
      <c r="J43">
        <f t="shared" si="3"/>
        <v>0.4</v>
      </c>
      <c r="K43" t="str">
        <f t="shared" si="4"/>
        <v>6' 0.4"</v>
      </c>
      <c r="L43">
        <f t="shared" si="5"/>
        <v>441</v>
      </c>
    </row>
    <row r="44" spans="1:12">
      <c r="A44" t="s">
        <v>155</v>
      </c>
      <c r="C44" s="1" t="s">
        <v>154</v>
      </c>
      <c r="D44" s="1">
        <f>_xlfn.XLOOKUP(C44,'rank lookup'!$A$1:$A$21,'rank lookup'!$B$1:$B$21,,0)</f>
        <v>20</v>
      </c>
      <c r="E44" s="19">
        <v>178</v>
      </c>
      <c r="F44" s="19">
        <v>135</v>
      </c>
      <c r="G44" s="5">
        <f t="shared" si="0"/>
        <v>42.608256533266008</v>
      </c>
      <c r="H44" s="4">
        <f t="shared" si="1"/>
        <v>70.078740157480311</v>
      </c>
      <c r="I44">
        <f t="shared" si="2"/>
        <v>5</v>
      </c>
      <c r="J44">
        <f t="shared" si="3"/>
        <v>10.1</v>
      </c>
      <c r="K44" t="str">
        <f t="shared" si="4"/>
        <v>5' 10.1"</v>
      </c>
      <c r="L44">
        <f t="shared" si="5"/>
        <v>298</v>
      </c>
    </row>
    <row r="45" spans="1:12">
      <c r="A45" t="s">
        <v>153</v>
      </c>
      <c r="C45" s="1" t="s">
        <v>154</v>
      </c>
      <c r="D45" s="1">
        <f>_xlfn.XLOOKUP(C45,'rank lookup'!$A$1:$A$21,'rank lookup'!$B$1:$B$21,,0)</f>
        <v>20</v>
      </c>
      <c r="E45" s="19">
        <v>190</v>
      </c>
      <c r="F45" s="19">
        <v>197</v>
      </c>
      <c r="G45" s="5">
        <f t="shared" si="0"/>
        <v>54.57063711911357</v>
      </c>
      <c r="H45" s="4">
        <f t="shared" si="1"/>
        <v>74.803149606299215</v>
      </c>
      <c r="I45">
        <f t="shared" si="2"/>
        <v>6</v>
      </c>
      <c r="J45">
        <f t="shared" si="3"/>
        <v>2.8</v>
      </c>
      <c r="K45" t="str">
        <f t="shared" si="4"/>
        <v>6' 2.8"</v>
      </c>
      <c r="L45">
        <f t="shared" si="5"/>
        <v>434</v>
      </c>
    </row>
  </sheetData>
  <autoFilter ref="A3:L38" xr:uid="{7067DD38-AD06-4250-9520-A2F29B57D9C0}">
    <sortState xmlns:xlrd2="http://schemas.microsoft.com/office/spreadsheetml/2017/richdata2" ref="A4:L45">
      <sortCondition ref="D3:D38"/>
    </sortState>
  </autoFilter>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38580-91F7-4D0E-9E3A-80F41966CC19}">
  <sheetPr codeName="Sheet9"/>
  <dimension ref="A1:B151"/>
  <sheetViews>
    <sheetView topLeftCell="A134" workbookViewId="0">
      <selection activeCell="B153" sqref="B153"/>
    </sheetView>
  </sheetViews>
  <sheetFormatPr defaultRowHeight="14.5"/>
  <cols>
    <col min="1" max="1" width="25.81640625" bestFit="1" customWidth="1"/>
    <col min="2" max="2" width="40.54296875" customWidth="1"/>
    <col min="3" max="3" width="2.54296875" customWidth="1"/>
    <col min="4" max="4" width="20.54296875" customWidth="1"/>
    <col min="5" max="5" width="40.54296875" customWidth="1"/>
  </cols>
  <sheetData>
    <row r="1" spans="1:2">
      <c r="A1" t="s">
        <v>0</v>
      </c>
      <c r="B1" t="s">
        <v>249</v>
      </c>
    </row>
    <row r="2" spans="1:2">
      <c r="B2" s="17"/>
    </row>
    <row r="5" spans="1:2">
      <c r="A5" s="3" t="s">
        <v>1</v>
      </c>
    </row>
    <row r="6" spans="1:2">
      <c r="A6" t="s">
        <v>158</v>
      </c>
      <c r="B6" t="s">
        <v>2</v>
      </c>
    </row>
    <row r="7" spans="1:2">
      <c r="A7" t="s">
        <v>129</v>
      </c>
    </row>
    <row r="9" spans="1:2">
      <c r="A9" t="s">
        <v>130</v>
      </c>
    </row>
    <row r="10" spans="1:2">
      <c r="A10" s="17" t="s">
        <v>127</v>
      </c>
    </row>
    <row r="12" spans="1:2" ht="25">
      <c r="A12" s="18" t="s">
        <v>128</v>
      </c>
    </row>
    <row r="14" spans="1:2" ht="25">
      <c r="A14" s="18"/>
    </row>
    <row r="38" spans="1:1">
      <c r="A38" t="s">
        <v>159</v>
      </c>
    </row>
    <row r="39" spans="1:1">
      <c r="A39" t="s">
        <v>157</v>
      </c>
    </row>
    <row r="137" spans="1:1">
      <c r="A137" t="s">
        <v>160</v>
      </c>
    </row>
    <row r="138" spans="1:1">
      <c r="A138" s="17" t="s">
        <v>134</v>
      </c>
    </row>
    <row r="139" spans="1:1">
      <c r="A139" t="s">
        <v>161</v>
      </c>
    </row>
    <row r="141" spans="1:1">
      <c r="A141" t="s">
        <v>183</v>
      </c>
    </row>
    <row r="142" spans="1:1">
      <c r="A142" s="17" t="s">
        <v>134</v>
      </c>
    </row>
    <row r="143" spans="1:1">
      <c r="A143" t="s">
        <v>184</v>
      </c>
    </row>
    <row r="145" spans="1:1">
      <c r="A145" t="s">
        <v>214</v>
      </c>
    </row>
    <row r="146" spans="1:1">
      <c r="A146" s="17" t="s">
        <v>134</v>
      </c>
    </row>
    <row r="147" spans="1:1">
      <c r="A147" t="s">
        <v>215</v>
      </c>
    </row>
    <row r="149" spans="1:1">
      <c r="A149" t="s">
        <v>250</v>
      </c>
    </row>
    <row r="150" spans="1:1">
      <c r="A150" s="17" t="s">
        <v>134</v>
      </c>
    </row>
    <row r="151" spans="1:1">
      <c r="A151" t="s">
        <v>251</v>
      </c>
    </row>
  </sheetData>
  <hyperlinks>
    <hyperlink ref="A10" r:id="rId1" xr:uid="{31C73356-7DC0-4298-8CDD-38AFBFE809D7}"/>
    <hyperlink ref="A138" r:id="rId2" xr:uid="{733FC5E5-E250-451A-8A90-1D3BCA57DC39}"/>
    <hyperlink ref="A142" r:id="rId3" xr:uid="{7EFEF7D6-1FE3-4B02-8704-088365A1D545}"/>
    <hyperlink ref="A146" r:id="rId4" xr:uid="{2868AD04-8A08-4848-AFD8-AB4F6CFF8232}"/>
    <hyperlink ref="A150" r:id="rId5" xr:uid="{D36DF8E3-A375-4A42-9FB5-51B20BFE54A5}"/>
  </hyperlinks>
  <pageMargins left="0.7" right="0.7" top="0.75" bottom="0.75" header="0.3" footer="0.3"/>
  <pageSetup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BA818-88B3-4AEA-9152-6A5AF77C3B55}">
  <dimension ref="A1:W49"/>
  <sheetViews>
    <sheetView topLeftCell="D10" zoomScale="106" zoomScaleNormal="106" workbookViewId="0">
      <selection activeCell="A10" sqref="A10"/>
    </sheetView>
  </sheetViews>
  <sheetFormatPr defaultRowHeight="14.5"/>
  <cols>
    <col min="1" max="7" width="21.1796875" customWidth="1"/>
    <col min="10" max="10" width="11.26953125" bestFit="1" customWidth="1"/>
    <col min="11" max="11" width="8.7265625" style="4"/>
    <col min="18" max="18" width="9.54296875" customWidth="1"/>
  </cols>
  <sheetData>
    <row r="1" spans="1:23">
      <c r="C1" t="s">
        <v>174</v>
      </c>
      <c r="H1" t="s">
        <v>178</v>
      </c>
    </row>
    <row r="2" spans="1:23">
      <c r="C2" s="17" t="s">
        <v>162</v>
      </c>
      <c r="D2" s="17"/>
      <c r="E2" s="17"/>
      <c r="P2">
        <f>MAX(P4:P45)</f>
        <v>42</v>
      </c>
      <c r="Q2">
        <f>MAX(Q4:Q45)</f>
        <v>42</v>
      </c>
      <c r="R2">
        <f>MAX(R4:R45)</f>
        <v>42</v>
      </c>
    </row>
    <row r="3" spans="1:23">
      <c r="A3" t="s">
        <v>3</v>
      </c>
      <c r="B3" t="s">
        <v>11</v>
      </c>
      <c r="C3" t="s">
        <v>131</v>
      </c>
      <c r="D3" t="s">
        <v>163</v>
      </c>
      <c r="E3" t="s">
        <v>175</v>
      </c>
      <c r="F3" t="s">
        <v>177</v>
      </c>
      <c r="G3" t="s">
        <v>164</v>
      </c>
      <c r="H3" t="s">
        <v>5</v>
      </c>
      <c r="I3" t="s">
        <v>4</v>
      </c>
      <c r="J3" t="s">
        <v>26</v>
      </c>
      <c r="K3" s="4" t="s">
        <v>6</v>
      </c>
      <c r="L3" t="s">
        <v>7</v>
      </c>
      <c r="M3" t="s">
        <v>8</v>
      </c>
      <c r="N3" t="s">
        <v>9</v>
      </c>
      <c r="O3" t="s">
        <v>10</v>
      </c>
      <c r="P3" t="s">
        <v>171</v>
      </c>
      <c r="Q3" t="s">
        <v>172</v>
      </c>
      <c r="R3" t="s">
        <v>173</v>
      </c>
      <c r="S3" t="s">
        <v>181</v>
      </c>
      <c r="T3" s="14" t="s">
        <v>182</v>
      </c>
      <c r="W3">
        <f>SUM(W4:W23)</f>
        <v>41</v>
      </c>
    </row>
    <row r="4" spans="1:23" ht="25">
      <c r="A4" s="1" t="s">
        <v>86</v>
      </c>
      <c r="B4" s="1">
        <v>7</v>
      </c>
      <c r="C4" s="1" t="s">
        <v>14</v>
      </c>
      <c r="D4" s="1" t="s">
        <v>14</v>
      </c>
      <c r="E4" s="1" t="s">
        <v>14</v>
      </c>
      <c r="F4" s="1">
        <f>_xlfn.XLOOKUP(E4,'rank lookup'!$A$1:$A$21,'rank lookup'!$B$1:$B$21,,0)</f>
        <v>1</v>
      </c>
      <c r="G4" s="1" t="s">
        <v>176</v>
      </c>
      <c r="H4" s="19">
        <v>192</v>
      </c>
      <c r="I4" s="19">
        <v>180</v>
      </c>
      <c r="J4" s="5">
        <f t="shared" ref="J4:J49" si="0">I4/(H4*H4)*10000</f>
        <v>48.828125</v>
      </c>
      <c r="K4" s="4">
        <f t="shared" ref="K4:K49" si="1">CONVERT(H4,"cm","in")</f>
        <v>75.59055118110237</v>
      </c>
      <c r="L4">
        <f t="shared" ref="L4:L49" si="2">_xlfn.FLOOR.MATH(K4/12)</f>
        <v>6</v>
      </c>
      <c r="M4">
        <f t="shared" ref="M4:M49" si="3">ROUND(K4-L4*12,1)</f>
        <v>3.6</v>
      </c>
      <c r="N4" t="str">
        <f t="shared" ref="N4:N49" si="4">L4&amp;"' "&amp;M4&amp;""""</f>
        <v>6' 3.6"</v>
      </c>
      <c r="O4">
        <f t="shared" ref="O4:O49" si="5">ROUND(CONVERT(I4,"kg","lbm"),0)</f>
        <v>397</v>
      </c>
      <c r="P4">
        <f>_xlfn.RANK.EQ(H4,H$4:H$45)</f>
        <v>2</v>
      </c>
      <c r="Q4">
        <f>_xlfn.RANK.EQ(I4,I$4:I$45)</f>
        <v>7</v>
      </c>
      <c r="R4">
        <f>_xlfn.RANK.EQ(J4,J$4:J$45)</f>
        <v>16</v>
      </c>
      <c r="S4">
        <f>_xlfn.XLOOKUP(A4,'November 2022 Data'!$A$4:$A$48,'November 2022 Data'!$H$4:$H$48,,0)</f>
        <v>181</v>
      </c>
      <c r="T4">
        <f>I4-S4</f>
        <v>-1</v>
      </c>
      <c r="V4" cm="1">
        <f t="array" ref="V4:V23">_xlfn.SEQUENCE(20,1,-3)</f>
        <v>-3</v>
      </c>
      <c r="W4">
        <f>COUNTIFS($T$4:$T$44,V4)</f>
        <v>3</v>
      </c>
    </row>
    <row r="5" spans="1:23">
      <c r="A5" s="1" t="s">
        <v>123</v>
      </c>
      <c r="B5" s="1">
        <v>2</v>
      </c>
      <c r="C5" s="1" t="s">
        <v>39</v>
      </c>
      <c r="D5" s="1" t="s">
        <v>39</v>
      </c>
      <c r="E5" s="1" t="s">
        <v>39</v>
      </c>
      <c r="F5" s="1">
        <f>_xlfn.XLOOKUP(E5,'rank lookup'!$A$1:$A$21,'rank lookup'!$B$1:$B$21,,0)</f>
        <v>2</v>
      </c>
      <c r="G5" s="1"/>
      <c r="H5" s="19">
        <v>175</v>
      </c>
      <c r="I5" s="19">
        <v>165</v>
      </c>
      <c r="J5" s="5">
        <f t="shared" si="0"/>
        <v>53.877551020408163</v>
      </c>
      <c r="K5" s="4">
        <f t="shared" si="1"/>
        <v>68.897637795275585</v>
      </c>
      <c r="L5">
        <f t="shared" si="2"/>
        <v>5</v>
      </c>
      <c r="M5">
        <f t="shared" si="3"/>
        <v>8.9</v>
      </c>
      <c r="N5" t="str">
        <f t="shared" si="4"/>
        <v>5' 8.9"</v>
      </c>
      <c r="O5">
        <f t="shared" si="5"/>
        <v>364</v>
      </c>
      <c r="P5">
        <f t="shared" ref="P5:R45" si="6">_xlfn.RANK.EQ(H5,H$4:H$45)</f>
        <v>39</v>
      </c>
      <c r="Q5">
        <f t="shared" si="6"/>
        <v>16</v>
      </c>
      <c r="R5">
        <f t="shared" si="6"/>
        <v>6</v>
      </c>
      <c r="S5">
        <f>_xlfn.XLOOKUP(A5,'November 2022 Data'!$A$4:$A$48,'November 2022 Data'!$H$4:$H$48,,0)</f>
        <v>163</v>
      </c>
      <c r="T5">
        <f t="shared" ref="T5:T44" si="7">I5-S5</f>
        <v>2</v>
      </c>
      <c r="V5">
        <v>-2</v>
      </c>
      <c r="W5">
        <f t="shared" ref="W5:W23" si="8">COUNTIFS($T$4:$T$44,V5)</f>
        <v>1</v>
      </c>
    </row>
    <row r="6" spans="1:23">
      <c r="A6" s="1" t="s">
        <v>109</v>
      </c>
      <c r="B6" s="1">
        <v>1</v>
      </c>
      <c r="C6" s="1" t="s">
        <v>39</v>
      </c>
      <c r="D6" s="1" t="s">
        <v>39</v>
      </c>
      <c r="E6" s="1" t="s">
        <v>31</v>
      </c>
      <c r="F6" s="1">
        <f>_xlfn.XLOOKUP(E6,'rank lookup'!$A$1:$A$21,'rank lookup'!$B$1:$B$21,,0)</f>
        <v>3</v>
      </c>
      <c r="G6" s="1"/>
      <c r="H6" s="19">
        <v>183</v>
      </c>
      <c r="I6" s="19">
        <v>163</v>
      </c>
      <c r="J6" s="5">
        <f t="shared" si="0"/>
        <v>48.672698498014277</v>
      </c>
      <c r="K6" s="4">
        <f t="shared" si="1"/>
        <v>72.047244094488192</v>
      </c>
      <c r="L6">
        <f t="shared" si="2"/>
        <v>6</v>
      </c>
      <c r="M6">
        <f t="shared" si="3"/>
        <v>0</v>
      </c>
      <c r="N6" t="str">
        <f t="shared" si="4"/>
        <v>6' 0"</v>
      </c>
      <c r="O6">
        <f t="shared" si="5"/>
        <v>359</v>
      </c>
      <c r="P6">
        <f t="shared" si="6"/>
        <v>27</v>
      </c>
      <c r="Q6">
        <f t="shared" si="6"/>
        <v>19</v>
      </c>
      <c r="R6">
        <f t="shared" si="6"/>
        <v>19</v>
      </c>
      <c r="S6">
        <f>_xlfn.XLOOKUP(A6,'November 2022 Data'!$A$4:$A$48,'November 2022 Data'!$H$4:$H$48,,0)</f>
        <v>162</v>
      </c>
      <c r="T6">
        <f t="shared" si="7"/>
        <v>1</v>
      </c>
      <c r="V6">
        <v>-1</v>
      </c>
      <c r="W6">
        <f t="shared" si="8"/>
        <v>1</v>
      </c>
    </row>
    <row r="7" spans="1:23">
      <c r="A7" s="1" t="s">
        <v>114</v>
      </c>
      <c r="B7" s="1"/>
      <c r="C7" s="1" t="s">
        <v>31</v>
      </c>
      <c r="D7" s="1" t="s">
        <v>31</v>
      </c>
      <c r="E7" s="1" t="s">
        <v>31</v>
      </c>
      <c r="F7" s="1">
        <f>_xlfn.XLOOKUP(E7,'rank lookup'!$A$1:$A$21,'rank lookup'!$B$1:$B$21,,0)</f>
        <v>3</v>
      </c>
      <c r="H7" s="19">
        <v>183</v>
      </c>
      <c r="I7" s="19">
        <v>135</v>
      </c>
      <c r="J7" s="5">
        <f t="shared" si="0"/>
        <v>40.311744154797097</v>
      </c>
      <c r="K7" s="4">
        <f t="shared" si="1"/>
        <v>72.047244094488192</v>
      </c>
      <c r="L7">
        <f t="shared" si="2"/>
        <v>6</v>
      </c>
      <c r="M7">
        <f t="shared" si="3"/>
        <v>0</v>
      </c>
      <c r="N7" t="str">
        <f t="shared" si="4"/>
        <v>6' 0"</v>
      </c>
      <c r="O7">
        <f t="shared" si="5"/>
        <v>298</v>
      </c>
      <c r="P7">
        <f t="shared" si="6"/>
        <v>27</v>
      </c>
      <c r="Q7">
        <f t="shared" si="6"/>
        <v>39</v>
      </c>
      <c r="R7">
        <f t="shared" si="6"/>
        <v>41</v>
      </c>
      <c r="S7">
        <f>_xlfn.XLOOKUP(A7,'November 2022 Data'!$A$4:$A$48,'November 2022 Data'!$H$4:$H$48,,0)</f>
        <v>132</v>
      </c>
      <c r="T7">
        <f t="shared" si="7"/>
        <v>3</v>
      </c>
      <c r="V7">
        <v>0</v>
      </c>
      <c r="W7">
        <f t="shared" si="8"/>
        <v>6</v>
      </c>
    </row>
    <row r="8" spans="1:23">
      <c r="A8" s="1" t="s">
        <v>95</v>
      </c>
      <c r="B8" s="1"/>
      <c r="C8" s="1" t="s">
        <v>31</v>
      </c>
      <c r="D8" s="1" t="s">
        <v>31</v>
      </c>
      <c r="E8" s="1" t="s">
        <v>31</v>
      </c>
      <c r="F8" s="1">
        <f>_xlfn.XLOOKUP(E8,'rank lookup'!$A$1:$A$21,'rank lookup'!$B$1:$B$21,,0)</f>
        <v>3</v>
      </c>
      <c r="G8" s="1"/>
      <c r="H8" s="19">
        <v>185</v>
      </c>
      <c r="I8" s="19">
        <v>146</v>
      </c>
      <c r="J8" s="5">
        <f t="shared" si="0"/>
        <v>42.658875091307529</v>
      </c>
      <c r="K8" s="4">
        <f t="shared" si="1"/>
        <v>72.834645669291348</v>
      </c>
      <c r="L8">
        <f t="shared" si="2"/>
        <v>6</v>
      </c>
      <c r="M8">
        <f t="shared" si="3"/>
        <v>0.8</v>
      </c>
      <c r="N8" t="str">
        <f t="shared" si="4"/>
        <v>6' 0.8"</v>
      </c>
      <c r="O8">
        <f t="shared" si="5"/>
        <v>322</v>
      </c>
      <c r="P8">
        <f t="shared" si="6"/>
        <v>20</v>
      </c>
      <c r="Q8">
        <f t="shared" si="6"/>
        <v>32</v>
      </c>
      <c r="R8">
        <f t="shared" si="6"/>
        <v>34</v>
      </c>
      <c r="S8">
        <f>_xlfn.XLOOKUP(A8,'November 2022 Data'!$A$4:$A$48,'November 2022 Data'!$H$4:$H$48,,0)</f>
        <v>140</v>
      </c>
      <c r="T8">
        <f t="shared" si="7"/>
        <v>6</v>
      </c>
      <c r="V8">
        <v>1</v>
      </c>
      <c r="W8">
        <f t="shared" si="8"/>
        <v>4</v>
      </c>
    </row>
    <row r="9" spans="1:23">
      <c r="A9" s="1" t="s">
        <v>96</v>
      </c>
      <c r="B9" s="1"/>
      <c r="C9" s="1" t="s">
        <v>139</v>
      </c>
      <c r="D9" s="1" t="s">
        <v>132</v>
      </c>
      <c r="E9" s="1" t="s">
        <v>31</v>
      </c>
      <c r="F9" s="1">
        <f>_xlfn.XLOOKUP(E9,'rank lookup'!$A$1:$A$21,'rank lookup'!$B$1:$B$21,,0)</f>
        <v>3</v>
      </c>
      <c r="G9" s="1"/>
      <c r="H9" s="19">
        <v>186</v>
      </c>
      <c r="I9" s="19">
        <v>182</v>
      </c>
      <c r="J9" s="5">
        <f t="shared" si="0"/>
        <v>52.607237830963122</v>
      </c>
      <c r="K9" s="4">
        <f t="shared" si="1"/>
        <v>73.228346456692918</v>
      </c>
      <c r="L9">
        <f t="shared" si="2"/>
        <v>6</v>
      </c>
      <c r="M9">
        <f t="shared" si="3"/>
        <v>1.2</v>
      </c>
      <c r="N9" t="str">
        <f t="shared" si="4"/>
        <v>6' 1.2"</v>
      </c>
      <c r="O9">
        <f t="shared" si="5"/>
        <v>401</v>
      </c>
      <c r="P9">
        <f t="shared" si="6"/>
        <v>17</v>
      </c>
      <c r="Q9">
        <f t="shared" si="6"/>
        <v>5</v>
      </c>
      <c r="R9">
        <f t="shared" si="6"/>
        <v>8</v>
      </c>
      <c r="S9">
        <f>_xlfn.XLOOKUP(A9,'November 2022 Data'!$A$4:$A$48,'November 2022 Data'!$H$4:$H$48,,0)</f>
        <v>182</v>
      </c>
      <c r="T9">
        <f t="shared" si="7"/>
        <v>0</v>
      </c>
      <c r="V9">
        <v>2</v>
      </c>
      <c r="W9">
        <f t="shared" si="8"/>
        <v>3</v>
      </c>
    </row>
    <row r="10" spans="1:23">
      <c r="A10" s="1" t="s">
        <v>102</v>
      </c>
      <c r="B10" s="1"/>
      <c r="C10" s="1" t="s">
        <v>42</v>
      </c>
      <c r="D10" s="1" t="s">
        <v>42</v>
      </c>
      <c r="E10" s="1" t="s">
        <v>42</v>
      </c>
      <c r="F10" s="1">
        <f>_xlfn.XLOOKUP(E10,'rank lookup'!$A$1:$A$21,'rank lookup'!$B$1:$B$21,,0)</f>
        <v>4</v>
      </c>
      <c r="G10" s="1"/>
      <c r="H10" s="19">
        <v>185</v>
      </c>
      <c r="I10" s="19">
        <v>142</v>
      </c>
      <c r="J10" s="5">
        <f t="shared" si="0"/>
        <v>41.490138787436081</v>
      </c>
      <c r="K10" s="4">
        <f t="shared" si="1"/>
        <v>72.834645669291348</v>
      </c>
      <c r="L10">
        <f t="shared" si="2"/>
        <v>6</v>
      </c>
      <c r="M10">
        <f t="shared" si="3"/>
        <v>0.8</v>
      </c>
      <c r="N10" t="str">
        <f t="shared" si="4"/>
        <v>6' 0.8"</v>
      </c>
      <c r="O10">
        <f t="shared" si="5"/>
        <v>313</v>
      </c>
      <c r="P10">
        <f t="shared" si="6"/>
        <v>20</v>
      </c>
      <c r="Q10">
        <f t="shared" si="6"/>
        <v>36</v>
      </c>
      <c r="R10">
        <f t="shared" si="6"/>
        <v>38</v>
      </c>
      <c r="S10">
        <f>_xlfn.XLOOKUP(A10,'November 2022 Data'!$A$4:$A$48,'November 2022 Data'!$H$4:$H$48,,0)</f>
        <v>138</v>
      </c>
      <c r="T10">
        <f t="shared" si="7"/>
        <v>4</v>
      </c>
      <c r="V10">
        <v>3</v>
      </c>
      <c r="W10">
        <f t="shared" si="8"/>
        <v>10</v>
      </c>
    </row>
    <row r="11" spans="1:23">
      <c r="A11" s="1" t="s">
        <v>94</v>
      </c>
      <c r="B11" s="1"/>
      <c r="C11" s="1" t="s">
        <v>136</v>
      </c>
      <c r="D11" s="1" t="s">
        <v>132</v>
      </c>
      <c r="E11" s="1" t="s">
        <v>42</v>
      </c>
      <c r="F11" s="1">
        <f>_xlfn.XLOOKUP(E11,'rank lookup'!$A$1:$A$21,'rank lookup'!$B$1:$B$21,,0)</f>
        <v>4</v>
      </c>
      <c r="G11" s="1"/>
      <c r="H11" s="19">
        <v>189</v>
      </c>
      <c r="I11" s="19">
        <v>172</v>
      </c>
      <c r="J11" s="5">
        <f t="shared" si="0"/>
        <v>48.150947621847095</v>
      </c>
      <c r="K11" s="4">
        <f t="shared" si="1"/>
        <v>74.409448818897644</v>
      </c>
      <c r="L11">
        <f t="shared" si="2"/>
        <v>6</v>
      </c>
      <c r="M11">
        <f t="shared" si="3"/>
        <v>2.4</v>
      </c>
      <c r="N11" t="str">
        <f t="shared" si="4"/>
        <v>6' 2.4"</v>
      </c>
      <c r="O11">
        <f t="shared" si="5"/>
        <v>379</v>
      </c>
      <c r="P11">
        <f t="shared" si="6"/>
        <v>8</v>
      </c>
      <c r="Q11">
        <f t="shared" si="6"/>
        <v>12</v>
      </c>
      <c r="R11">
        <f t="shared" si="6"/>
        <v>21</v>
      </c>
      <c r="S11">
        <f>_xlfn.XLOOKUP(A11,'November 2022 Data'!$A$4:$A$48,'November 2022 Data'!$H$4:$H$48,,0)</f>
        <v>167</v>
      </c>
      <c r="T11">
        <f t="shared" si="7"/>
        <v>5</v>
      </c>
      <c r="V11">
        <v>4</v>
      </c>
      <c r="W11">
        <f t="shared" si="8"/>
        <v>2</v>
      </c>
    </row>
    <row r="12" spans="1:23">
      <c r="A12" s="1" t="s">
        <v>117</v>
      </c>
      <c r="B12" s="1"/>
      <c r="C12" s="1" t="s">
        <v>136</v>
      </c>
      <c r="D12" s="1" t="s">
        <v>136</v>
      </c>
      <c r="E12" s="1" t="s">
        <v>42</v>
      </c>
      <c r="F12" s="1">
        <f>_xlfn.XLOOKUP(E12,'rank lookup'!$A$1:$A$21,'rank lookup'!$B$1:$B$21,,0)</f>
        <v>4</v>
      </c>
      <c r="G12" s="1"/>
      <c r="H12" s="19">
        <v>180</v>
      </c>
      <c r="I12" s="19">
        <v>158</v>
      </c>
      <c r="J12" s="5">
        <f t="shared" si="0"/>
        <v>48.76543209876543</v>
      </c>
      <c r="K12" s="4">
        <f t="shared" si="1"/>
        <v>70.866141732283467</v>
      </c>
      <c r="L12">
        <f t="shared" si="2"/>
        <v>5</v>
      </c>
      <c r="M12">
        <f t="shared" si="3"/>
        <v>10.9</v>
      </c>
      <c r="N12" t="str">
        <f t="shared" si="4"/>
        <v>5' 10.9"</v>
      </c>
      <c r="O12">
        <f t="shared" si="5"/>
        <v>348</v>
      </c>
      <c r="P12">
        <f t="shared" si="6"/>
        <v>33</v>
      </c>
      <c r="Q12">
        <f t="shared" si="6"/>
        <v>25</v>
      </c>
      <c r="R12">
        <f t="shared" si="6"/>
        <v>17</v>
      </c>
      <c r="S12">
        <f>_xlfn.XLOOKUP(A12,'November 2022 Data'!$A$4:$A$48,'November 2022 Data'!$H$4:$H$48,,0)</f>
        <v>153</v>
      </c>
      <c r="T12">
        <f t="shared" si="7"/>
        <v>5</v>
      </c>
      <c r="V12">
        <v>5</v>
      </c>
      <c r="W12">
        <f t="shared" si="8"/>
        <v>6</v>
      </c>
    </row>
    <row r="13" spans="1:23">
      <c r="A13" s="1" t="s">
        <v>100</v>
      </c>
      <c r="B13" s="1"/>
      <c r="C13" s="1" t="s">
        <v>141</v>
      </c>
      <c r="D13" s="1" t="s">
        <v>139</v>
      </c>
      <c r="E13" s="1" t="s">
        <v>42</v>
      </c>
      <c r="F13" s="1">
        <f>_xlfn.XLOOKUP(E13,'rank lookup'!$A$1:$A$21,'rank lookup'!$B$1:$B$21,,0)</f>
        <v>4</v>
      </c>
      <c r="G13" s="1"/>
      <c r="H13" s="19">
        <v>186</v>
      </c>
      <c r="I13" s="19">
        <v>146</v>
      </c>
      <c r="J13" s="5">
        <f t="shared" si="0"/>
        <v>42.201410567695682</v>
      </c>
      <c r="K13" s="4">
        <f t="shared" si="1"/>
        <v>73.228346456692918</v>
      </c>
      <c r="L13">
        <f t="shared" si="2"/>
        <v>6</v>
      </c>
      <c r="M13">
        <f t="shared" si="3"/>
        <v>1.2</v>
      </c>
      <c r="N13" t="str">
        <f t="shared" si="4"/>
        <v>6' 1.2"</v>
      </c>
      <c r="O13">
        <f t="shared" si="5"/>
        <v>322</v>
      </c>
      <c r="P13">
        <f t="shared" si="6"/>
        <v>17</v>
      </c>
      <c r="Q13">
        <f t="shared" si="6"/>
        <v>32</v>
      </c>
      <c r="R13">
        <f t="shared" si="6"/>
        <v>35</v>
      </c>
      <c r="S13">
        <f>_xlfn.XLOOKUP(A13,'November 2022 Data'!$A$4:$A$48,'November 2022 Data'!$H$4:$H$48,,0)</f>
        <v>135</v>
      </c>
      <c r="T13">
        <f t="shared" si="7"/>
        <v>11</v>
      </c>
      <c r="V13">
        <v>6</v>
      </c>
      <c r="W13">
        <f t="shared" si="8"/>
        <v>1</v>
      </c>
    </row>
    <row r="14" spans="1:23">
      <c r="A14" s="1" t="s">
        <v>112</v>
      </c>
      <c r="B14" s="1">
        <v>1</v>
      </c>
      <c r="C14" s="1" t="s">
        <v>31</v>
      </c>
      <c r="D14" s="1" t="s">
        <v>42</v>
      </c>
      <c r="E14" s="1" t="s">
        <v>132</v>
      </c>
      <c r="F14" s="1">
        <f>_xlfn.XLOOKUP(E14,'rank lookup'!$A$1:$A$21,'rank lookup'!$B$1:$B$21,,0)</f>
        <v>5</v>
      </c>
      <c r="G14" s="1"/>
      <c r="H14" s="19">
        <v>182</v>
      </c>
      <c r="I14" s="19">
        <v>165</v>
      </c>
      <c r="J14" s="5">
        <f t="shared" si="0"/>
        <v>49.812824538099264</v>
      </c>
      <c r="K14" s="4">
        <f t="shared" si="1"/>
        <v>71.653543307086608</v>
      </c>
      <c r="L14">
        <f t="shared" si="2"/>
        <v>5</v>
      </c>
      <c r="M14">
        <f t="shared" si="3"/>
        <v>11.7</v>
      </c>
      <c r="N14" t="str">
        <f t="shared" si="4"/>
        <v>5' 11.7"</v>
      </c>
      <c r="O14">
        <f t="shared" si="5"/>
        <v>364</v>
      </c>
      <c r="P14">
        <f t="shared" si="6"/>
        <v>31</v>
      </c>
      <c r="Q14">
        <f t="shared" si="6"/>
        <v>16</v>
      </c>
      <c r="R14">
        <f t="shared" si="6"/>
        <v>12</v>
      </c>
      <c r="S14">
        <f>_xlfn.XLOOKUP(A14,'November 2022 Data'!$A$4:$A$48,'November 2022 Data'!$H$4:$H$48,,0)</f>
        <v>161</v>
      </c>
      <c r="T14">
        <f t="shared" si="7"/>
        <v>4</v>
      </c>
      <c r="V14">
        <v>7</v>
      </c>
      <c r="W14">
        <f t="shared" si="8"/>
        <v>1</v>
      </c>
    </row>
    <row r="15" spans="1:23">
      <c r="A15" s="1" t="s">
        <v>124</v>
      </c>
      <c r="B15" s="1"/>
      <c r="C15" s="1" t="s">
        <v>132</v>
      </c>
      <c r="D15" s="1" t="s">
        <v>42</v>
      </c>
      <c r="E15" s="1" t="s">
        <v>132</v>
      </c>
      <c r="F15" s="1">
        <f>_xlfn.XLOOKUP(E15,'rank lookup'!$A$1:$A$21,'rank lookup'!$B$1:$B$21,,0)</f>
        <v>5</v>
      </c>
      <c r="G15" s="1"/>
      <c r="H15" s="19">
        <v>174</v>
      </c>
      <c r="I15" s="19">
        <v>130</v>
      </c>
      <c r="J15" s="5">
        <f t="shared" si="0"/>
        <v>42.938300964460304</v>
      </c>
      <c r="K15" s="4">
        <f t="shared" si="1"/>
        <v>68.503937007874015</v>
      </c>
      <c r="L15">
        <f t="shared" si="2"/>
        <v>5</v>
      </c>
      <c r="M15">
        <f t="shared" si="3"/>
        <v>8.5</v>
      </c>
      <c r="N15" t="str">
        <f t="shared" si="4"/>
        <v>5' 8.5"</v>
      </c>
      <c r="O15">
        <f t="shared" si="5"/>
        <v>287</v>
      </c>
      <c r="P15">
        <f t="shared" si="6"/>
        <v>41</v>
      </c>
      <c r="Q15">
        <f t="shared" si="6"/>
        <v>40</v>
      </c>
      <c r="R15">
        <f t="shared" si="6"/>
        <v>33</v>
      </c>
      <c r="S15">
        <f>_xlfn.XLOOKUP(A15,'November 2022 Data'!$A$4:$A$48,'November 2022 Data'!$H$4:$H$48,,0)</f>
        <v>133</v>
      </c>
      <c r="T15">
        <f t="shared" si="7"/>
        <v>-3</v>
      </c>
      <c r="V15">
        <v>8</v>
      </c>
      <c r="W15">
        <f t="shared" si="8"/>
        <v>1</v>
      </c>
    </row>
    <row r="16" spans="1:23">
      <c r="A16" s="1" t="s">
        <v>116</v>
      </c>
      <c r="B16" s="1">
        <v>2</v>
      </c>
      <c r="C16" s="1" t="s">
        <v>39</v>
      </c>
      <c r="D16" s="1" t="s">
        <v>31</v>
      </c>
      <c r="E16" s="1" t="s">
        <v>136</v>
      </c>
      <c r="F16" s="1">
        <f>_xlfn.XLOOKUP(E16,'rank lookup'!$A$1:$A$21,'rank lookup'!$B$1:$B$21,,0)</f>
        <v>6</v>
      </c>
      <c r="G16" s="1"/>
      <c r="H16" s="19">
        <v>179</v>
      </c>
      <c r="I16" s="19">
        <v>174</v>
      </c>
      <c r="J16" s="5">
        <f t="shared" si="0"/>
        <v>54.305421179114262</v>
      </c>
      <c r="K16" s="4">
        <f t="shared" si="1"/>
        <v>70.472440944881896</v>
      </c>
      <c r="L16">
        <f t="shared" si="2"/>
        <v>5</v>
      </c>
      <c r="M16">
        <f t="shared" si="3"/>
        <v>10.5</v>
      </c>
      <c r="N16" t="str">
        <f t="shared" si="4"/>
        <v>5' 10.5"</v>
      </c>
      <c r="O16">
        <f t="shared" si="5"/>
        <v>384</v>
      </c>
      <c r="P16">
        <f t="shared" si="6"/>
        <v>34</v>
      </c>
      <c r="Q16">
        <f t="shared" si="6"/>
        <v>10</v>
      </c>
      <c r="R16">
        <f t="shared" si="6"/>
        <v>4</v>
      </c>
      <c r="S16">
        <f>_xlfn.XLOOKUP(A16,'November 2022 Data'!$A$4:$A$48,'November 2022 Data'!$H$4:$H$48,,0)</f>
        <v>171</v>
      </c>
      <c r="T16">
        <f t="shared" si="7"/>
        <v>3</v>
      </c>
      <c r="V16">
        <v>9</v>
      </c>
      <c r="W16">
        <f t="shared" si="8"/>
        <v>1</v>
      </c>
    </row>
    <row r="17" spans="1:23">
      <c r="A17" s="1" t="s">
        <v>92</v>
      </c>
      <c r="B17" s="1">
        <v>2</v>
      </c>
      <c r="C17" s="1" t="s">
        <v>137</v>
      </c>
      <c r="D17" s="1" t="s">
        <v>42</v>
      </c>
      <c r="E17" s="1" t="s">
        <v>136</v>
      </c>
      <c r="F17" s="1">
        <f>_xlfn.XLOOKUP(E17,'rank lookup'!$A$1:$A$21,'rank lookup'!$B$1:$B$21,,0)</f>
        <v>6</v>
      </c>
      <c r="G17" s="1"/>
      <c r="H17" s="19">
        <v>189</v>
      </c>
      <c r="I17" s="19">
        <v>174</v>
      </c>
      <c r="J17" s="5">
        <f t="shared" si="0"/>
        <v>48.710842361636011</v>
      </c>
      <c r="K17" s="4">
        <f t="shared" si="1"/>
        <v>74.409448818897644</v>
      </c>
      <c r="L17">
        <f t="shared" si="2"/>
        <v>6</v>
      </c>
      <c r="M17">
        <f t="shared" si="3"/>
        <v>2.4</v>
      </c>
      <c r="N17" t="str">
        <f t="shared" si="4"/>
        <v>6' 2.4"</v>
      </c>
      <c r="O17">
        <f t="shared" si="5"/>
        <v>384</v>
      </c>
      <c r="P17">
        <f t="shared" si="6"/>
        <v>8</v>
      </c>
      <c r="Q17">
        <f t="shared" si="6"/>
        <v>10</v>
      </c>
      <c r="R17">
        <f t="shared" si="6"/>
        <v>18</v>
      </c>
      <c r="S17">
        <f>_xlfn.XLOOKUP(A17,'November 2022 Data'!$A$4:$A$48,'November 2022 Data'!$H$4:$H$48,,0)</f>
        <v>174</v>
      </c>
      <c r="T17">
        <f t="shared" si="7"/>
        <v>0</v>
      </c>
      <c r="V17">
        <v>10</v>
      </c>
      <c r="W17">
        <f t="shared" si="8"/>
        <v>0</v>
      </c>
    </row>
    <row r="18" spans="1:23">
      <c r="A18" s="1" t="s">
        <v>133</v>
      </c>
      <c r="C18" t="s">
        <v>132</v>
      </c>
      <c r="D18" s="1" t="s">
        <v>137</v>
      </c>
      <c r="E18" s="1" t="s">
        <v>137</v>
      </c>
      <c r="F18" s="1">
        <f>_xlfn.XLOOKUP(E18,'rank lookup'!$A$1:$A$21,'rank lookup'!$B$1:$B$21,,0)</f>
        <v>7</v>
      </c>
      <c r="G18" s="1"/>
      <c r="H18" s="19">
        <v>171</v>
      </c>
      <c r="I18" s="19">
        <v>117</v>
      </c>
      <c r="J18" s="5">
        <f t="shared" si="0"/>
        <v>40.012311480455523</v>
      </c>
      <c r="K18" s="4">
        <f t="shared" si="1"/>
        <v>67.322834645669289</v>
      </c>
      <c r="L18">
        <f t="shared" si="2"/>
        <v>5</v>
      </c>
      <c r="M18">
        <f t="shared" si="3"/>
        <v>7.3</v>
      </c>
      <c r="N18" t="str">
        <f t="shared" si="4"/>
        <v>5' 7.3"</v>
      </c>
      <c r="O18">
        <f t="shared" si="5"/>
        <v>258</v>
      </c>
      <c r="P18">
        <f t="shared" si="6"/>
        <v>42</v>
      </c>
      <c r="Q18">
        <f t="shared" si="6"/>
        <v>42</v>
      </c>
      <c r="R18">
        <f t="shared" si="6"/>
        <v>42</v>
      </c>
      <c r="S18">
        <f>_xlfn.XLOOKUP(A18,'November 2022 Data'!$A$4:$A$48,'November 2022 Data'!$H$4:$H$48,,0)</f>
        <v>114</v>
      </c>
      <c r="T18">
        <f t="shared" si="7"/>
        <v>3</v>
      </c>
      <c r="V18">
        <v>11</v>
      </c>
      <c r="W18">
        <f t="shared" si="8"/>
        <v>1</v>
      </c>
    </row>
    <row r="19" spans="1:23">
      <c r="A19" s="1" t="s">
        <v>93</v>
      </c>
      <c r="B19" s="1">
        <v>1</v>
      </c>
      <c r="C19" s="1" t="s">
        <v>42</v>
      </c>
      <c r="D19" s="1" t="s">
        <v>143</v>
      </c>
      <c r="E19" s="1" t="s">
        <v>137</v>
      </c>
      <c r="F19" s="1">
        <f>_xlfn.XLOOKUP(E19,'rank lookup'!$A$1:$A$21,'rank lookup'!$B$1:$B$21,,0)</f>
        <v>7</v>
      </c>
      <c r="G19" s="1"/>
      <c r="H19" s="19">
        <v>187</v>
      </c>
      <c r="I19" s="19">
        <v>159</v>
      </c>
      <c r="J19" s="5">
        <f t="shared" si="0"/>
        <v>45.468843833109325</v>
      </c>
      <c r="K19" s="4">
        <f t="shared" si="1"/>
        <v>73.622047244094489</v>
      </c>
      <c r="L19">
        <f t="shared" si="2"/>
        <v>6</v>
      </c>
      <c r="M19">
        <f t="shared" si="3"/>
        <v>1.6</v>
      </c>
      <c r="N19" t="str">
        <f t="shared" si="4"/>
        <v>6' 1.6"</v>
      </c>
      <c r="O19">
        <f t="shared" si="5"/>
        <v>351</v>
      </c>
      <c r="P19">
        <f t="shared" si="6"/>
        <v>14</v>
      </c>
      <c r="Q19">
        <f t="shared" si="6"/>
        <v>24</v>
      </c>
      <c r="R19">
        <f t="shared" si="6"/>
        <v>25</v>
      </c>
      <c r="S19">
        <f>_xlfn.XLOOKUP(A19,'November 2022 Data'!$A$4:$A$48,'November 2022 Data'!$H$4:$H$48,,0)</f>
        <v>151</v>
      </c>
      <c r="T19">
        <f t="shared" si="7"/>
        <v>8</v>
      </c>
      <c r="V19">
        <v>12</v>
      </c>
      <c r="W19">
        <f t="shared" si="8"/>
        <v>0</v>
      </c>
    </row>
    <row r="20" spans="1:23">
      <c r="A20" s="1" t="s">
        <v>111</v>
      </c>
      <c r="B20" s="1"/>
      <c r="C20" s="1" t="s">
        <v>140</v>
      </c>
      <c r="D20" s="1" t="s">
        <v>139</v>
      </c>
      <c r="E20" s="1" t="s">
        <v>139</v>
      </c>
      <c r="F20" s="1">
        <f>_xlfn.XLOOKUP(E20,'rank lookup'!$A$1:$A$21,'rank lookup'!$B$1:$B$21,,0)</f>
        <v>8</v>
      </c>
      <c r="G20" s="1"/>
      <c r="H20" s="19">
        <v>182</v>
      </c>
      <c r="I20" s="19">
        <v>144</v>
      </c>
      <c r="J20" s="5">
        <f t="shared" si="0"/>
        <v>43.473010505977541</v>
      </c>
      <c r="K20" s="4">
        <f t="shared" si="1"/>
        <v>71.653543307086608</v>
      </c>
      <c r="L20">
        <f t="shared" si="2"/>
        <v>5</v>
      </c>
      <c r="M20">
        <f t="shared" si="3"/>
        <v>11.7</v>
      </c>
      <c r="N20" t="str">
        <f t="shared" si="4"/>
        <v>5' 11.7"</v>
      </c>
      <c r="O20">
        <f t="shared" si="5"/>
        <v>317</v>
      </c>
      <c r="P20">
        <f t="shared" si="6"/>
        <v>31</v>
      </c>
      <c r="Q20">
        <f t="shared" si="6"/>
        <v>35</v>
      </c>
      <c r="R20">
        <f t="shared" si="6"/>
        <v>32</v>
      </c>
      <c r="S20">
        <f>_xlfn.XLOOKUP(A20,'November 2022 Data'!$A$4:$A$48,'November 2022 Data'!$H$4:$H$48,,0)</f>
        <v>141</v>
      </c>
      <c r="T20">
        <f t="shared" si="7"/>
        <v>3</v>
      </c>
      <c r="V20">
        <v>13</v>
      </c>
      <c r="W20">
        <f t="shared" si="8"/>
        <v>0</v>
      </c>
    </row>
    <row r="21" spans="1:23">
      <c r="A21" t="s">
        <v>144</v>
      </c>
      <c r="C21" s="1" t="s">
        <v>145</v>
      </c>
      <c r="D21" s="1" t="s">
        <v>140</v>
      </c>
      <c r="E21" s="1" t="s">
        <v>139</v>
      </c>
      <c r="F21" s="1">
        <f>_xlfn.XLOOKUP(E21,'rank lookup'!$A$1:$A$21,'rank lookup'!$B$1:$B$21,,0)</f>
        <v>8</v>
      </c>
      <c r="G21" s="1"/>
      <c r="H21" s="19">
        <v>184</v>
      </c>
      <c r="I21" s="19">
        <v>155</v>
      </c>
      <c r="J21" s="5">
        <f t="shared" si="0"/>
        <v>45.782136105860118</v>
      </c>
      <c r="K21" s="4">
        <f t="shared" si="1"/>
        <v>72.440944881889763</v>
      </c>
      <c r="L21">
        <f t="shared" si="2"/>
        <v>6</v>
      </c>
      <c r="M21">
        <f t="shared" si="3"/>
        <v>0.4</v>
      </c>
      <c r="N21" t="str">
        <f t="shared" si="4"/>
        <v>6' 0.4"</v>
      </c>
      <c r="O21">
        <f t="shared" si="5"/>
        <v>342</v>
      </c>
      <c r="P21">
        <f t="shared" si="6"/>
        <v>22</v>
      </c>
      <c r="Q21">
        <f t="shared" si="6"/>
        <v>29</v>
      </c>
      <c r="R21">
        <f t="shared" si="6"/>
        <v>23</v>
      </c>
      <c r="S21">
        <f>_xlfn.XLOOKUP(A21,'November 2022 Data'!$A$4:$A$48,'November 2022 Data'!$H$4:$H$48,,0)</f>
        <v>148</v>
      </c>
      <c r="T21">
        <f t="shared" si="7"/>
        <v>7</v>
      </c>
      <c r="V21">
        <v>14</v>
      </c>
      <c r="W21">
        <f t="shared" si="8"/>
        <v>0</v>
      </c>
    </row>
    <row r="22" spans="1:23">
      <c r="A22" s="1" t="s">
        <v>138</v>
      </c>
      <c r="C22" s="1" t="s">
        <v>139</v>
      </c>
      <c r="D22" s="1" t="s">
        <v>141</v>
      </c>
      <c r="E22" s="1" t="s">
        <v>140</v>
      </c>
      <c r="F22" s="1">
        <f>_xlfn.XLOOKUP(E22,'rank lookup'!$A$1:$A$21,'rank lookup'!$B$1:$B$21,,0)</f>
        <v>9</v>
      </c>
      <c r="G22" s="1"/>
      <c r="H22" s="19">
        <v>184</v>
      </c>
      <c r="I22" s="19">
        <v>179</v>
      </c>
      <c r="J22" s="5">
        <f t="shared" si="0"/>
        <v>52.870982986767487</v>
      </c>
      <c r="K22" s="4">
        <f t="shared" si="1"/>
        <v>72.440944881889763</v>
      </c>
      <c r="L22">
        <f t="shared" si="2"/>
        <v>6</v>
      </c>
      <c r="M22">
        <f t="shared" si="3"/>
        <v>0.4</v>
      </c>
      <c r="N22" t="str">
        <f t="shared" si="4"/>
        <v>6' 0.4"</v>
      </c>
      <c r="O22">
        <f t="shared" si="5"/>
        <v>395</v>
      </c>
      <c r="P22">
        <f t="shared" si="6"/>
        <v>22</v>
      </c>
      <c r="Q22">
        <f t="shared" si="6"/>
        <v>8</v>
      </c>
      <c r="R22">
        <f t="shared" si="6"/>
        <v>7</v>
      </c>
      <c r="S22">
        <f>_xlfn.XLOOKUP(A22,'November 2022 Data'!$A$4:$A$48,'November 2022 Data'!$H$4:$H$48,,0)</f>
        <v>170</v>
      </c>
      <c r="T22">
        <f t="shared" si="7"/>
        <v>9</v>
      </c>
      <c r="V22">
        <v>15</v>
      </c>
      <c r="W22">
        <f t="shared" si="8"/>
        <v>0</v>
      </c>
    </row>
    <row r="23" spans="1:23">
      <c r="A23" t="s">
        <v>149</v>
      </c>
      <c r="C23" s="1" t="s">
        <v>148</v>
      </c>
      <c r="D23" s="1" t="s">
        <v>141</v>
      </c>
      <c r="E23" s="1" t="s">
        <v>140</v>
      </c>
      <c r="F23" s="1">
        <f>_xlfn.XLOOKUP(E23,'rank lookup'!$A$1:$A$21,'rank lookup'!$B$1:$B$21,,0)</f>
        <v>9</v>
      </c>
      <c r="G23" s="1"/>
      <c r="H23" s="20">
        <v>187</v>
      </c>
      <c r="I23" s="19">
        <v>157</v>
      </c>
      <c r="J23" s="5">
        <f t="shared" si="0"/>
        <v>44.89690869055449</v>
      </c>
      <c r="K23" s="4">
        <f t="shared" si="1"/>
        <v>73.622047244094489</v>
      </c>
      <c r="L23">
        <f t="shared" si="2"/>
        <v>6</v>
      </c>
      <c r="M23">
        <f t="shared" si="3"/>
        <v>1.6</v>
      </c>
      <c r="N23" t="str">
        <f t="shared" si="4"/>
        <v>6' 1.6"</v>
      </c>
      <c r="O23">
        <f t="shared" si="5"/>
        <v>346</v>
      </c>
      <c r="P23">
        <f t="shared" si="6"/>
        <v>14</v>
      </c>
      <c r="Q23">
        <f t="shared" si="6"/>
        <v>26</v>
      </c>
      <c r="R23">
        <f t="shared" si="6"/>
        <v>27</v>
      </c>
      <c r="S23">
        <f>_xlfn.XLOOKUP(A23,'November 2022 Data'!$A$4:$A$48,'November 2022 Data'!$H$4:$H$48,,0)</f>
        <v>154</v>
      </c>
      <c r="T23">
        <f t="shared" si="7"/>
        <v>3</v>
      </c>
      <c r="V23">
        <v>16</v>
      </c>
      <c r="W23">
        <f t="shared" si="8"/>
        <v>0</v>
      </c>
    </row>
    <row r="24" spans="1:23">
      <c r="A24" s="1" t="s">
        <v>103</v>
      </c>
      <c r="B24" s="1"/>
      <c r="C24" s="1" t="s">
        <v>142</v>
      </c>
      <c r="D24" s="1" t="s">
        <v>140</v>
      </c>
      <c r="E24" s="1" t="s">
        <v>141</v>
      </c>
      <c r="F24" s="1">
        <f>_xlfn.XLOOKUP(E24,'rank lookup'!$A$1:$A$21,'rank lookup'!$B$1:$B$21,,0)</f>
        <v>10</v>
      </c>
      <c r="G24" s="1"/>
      <c r="H24" s="19">
        <v>184</v>
      </c>
      <c r="I24" s="19">
        <v>163</v>
      </c>
      <c r="J24" s="5">
        <f t="shared" si="0"/>
        <v>48.145085066162572</v>
      </c>
      <c r="K24" s="4">
        <f t="shared" si="1"/>
        <v>72.440944881889763</v>
      </c>
      <c r="L24">
        <f t="shared" si="2"/>
        <v>6</v>
      </c>
      <c r="M24">
        <f t="shared" si="3"/>
        <v>0.4</v>
      </c>
      <c r="N24" t="str">
        <f t="shared" si="4"/>
        <v>6' 0.4"</v>
      </c>
      <c r="O24">
        <f t="shared" si="5"/>
        <v>359</v>
      </c>
      <c r="P24">
        <f t="shared" si="6"/>
        <v>22</v>
      </c>
      <c r="Q24">
        <f t="shared" si="6"/>
        <v>19</v>
      </c>
      <c r="R24">
        <f t="shared" si="6"/>
        <v>22</v>
      </c>
      <c r="S24">
        <f>_xlfn.XLOOKUP(A24,'November 2022 Data'!$A$4:$A$48,'November 2022 Data'!$H$4:$H$48,,0)</f>
        <v>161</v>
      </c>
      <c r="T24">
        <f t="shared" si="7"/>
        <v>2</v>
      </c>
    </row>
    <row r="25" spans="1:23">
      <c r="A25" s="1" t="s">
        <v>97</v>
      </c>
      <c r="B25" s="1"/>
      <c r="C25" s="1" t="s">
        <v>143</v>
      </c>
      <c r="D25" s="1" t="s">
        <v>135</v>
      </c>
      <c r="E25" s="1" t="s">
        <v>141</v>
      </c>
      <c r="F25" s="1">
        <f>_xlfn.XLOOKUP(E25,'rank lookup'!$A$1:$A$21,'rank lookup'!$B$1:$B$21,,0)</f>
        <v>10</v>
      </c>
      <c r="G25" s="1"/>
      <c r="H25" s="19">
        <v>189</v>
      </c>
      <c r="I25" s="19">
        <v>157</v>
      </c>
      <c r="J25" s="5">
        <f t="shared" si="0"/>
        <v>43.951737073430195</v>
      </c>
      <c r="K25" s="4">
        <f t="shared" si="1"/>
        <v>74.409448818897644</v>
      </c>
      <c r="L25">
        <f t="shared" si="2"/>
        <v>6</v>
      </c>
      <c r="M25">
        <f t="shared" si="3"/>
        <v>2.4</v>
      </c>
      <c r="N25" t="str">
        <f t="shared" si="4"/>
        <v>6' 2.4"</v>
      </c>
      <c r="O25">
        <f t="shared" si="5"/>
        <v>346</v>
      </c>
      <c r="P25">
        <f t="shared" si="6"/>
        <v>8</v>
      </c>
      <c r="Q25">
        <f t="shared" si="6"/>
        <v>26</v>
      </c>
      <c r="R25">
        <f t="shared" si="6"/>
        <v>30</v>
      </c>
      <c r="S25">
        <f>_xlfn.XLOOKUP(A25,'November 2022 Data'!$A$4:$A$48,'November 2022 Data'!$H$4:$H$48,,0)</f>
        <v>154</v>
      </c>
      <c r="T25">
        <f t="shared" si="7"/>
        <v>3</v>
      </c>
    </row>
    <row r="26" spans="1:23">
      <c r="A26" s="1" t="s">
        <v>89</v>
      </c>
      <c r="B26" s="1">
        <v>1</v>
      </c>
      <c r="C26" s="1" t="s">
        <v>42</v>
      </c>
      <c r="D26" s="1" t="s">
        <v>136</v>
      </c>
      <c r="E26" s="1" t="s">
        <v>135</v>
      </c>
      <c r="F26" s="1">
        <f>_xlfn.XLOOKUP(E26,'rank lookup'!$A$1:$A$21,'rank lookup'!$B$1:$B$21,,0)</f>
        <v>11</v>
      </c>
      <c r="G26" s="1"/>
      <c r="H26" s="19">
        <v>190</v>
      </c>
      <c r="I26" s="19">
        <v>212</v>
      </c>
      <c r="J26" s="5">
        <f t="shared" si="0"/>
        <v>58.725761772853183</v>
      </c>
      <c r="K26" s="4">
        <f t="shared" si="1"/>
        <v>74.803149606299215</v>
      </c>
      <c r="L26">
        <f t="shared" si="2"/>
        <v>6</v>
      </c>
      <c r="M26">
        <f t="shared" si="3"/>
        <v>2.8</v>
      </c>
      <c r="N26" t="str">
        <f t="shared" si="4"/>
        <v>6' 2.8"</v>
      </c>
      <c r="O26">
        <f t="shared" si="5"/>
        <v>467</v>
      </c>
      <c r="P26">
        <f t="shared" si="6"/>
        <v>5</v>
      </c>
      <c r="Q26">
        <f t="shared" si="6"/>
        <v>1</v>
      </c>
      <c r="R26">
        <f t="shared" si="6"/>
        <v>2</v>
      </c>
      <c r="S26">
        <f>_xlfn.XLOOKUP(A26,'November 2022 Data'!$A$4:$A$48,'November 2022 Data'!$H$4:$H$48,,0)</f>
        <v>212</v>
      </c>
      <c r="T26">
        <f t="shared" si="7"/>
        <v>0</v>
      </c>
    </row>
    <row r="27" spans="1:23">
      <c r="A27" s="1" t="s">
        <v>121</v>
      </c>
      <c r="B27" s="1"/>
      <c r="C27" s="1" t="s">
        <v>137</v>
      </c>
      <c r="D27" s="1" t="s">
        <v>137</v>
      </c>
      <c r="E27" s="1" t="s">
        <v>135</v>
      </c>
      <c r="F27" s="1">
        <f>_xlfn.XLOOKUP(E27,'rank lookup'!$A$1:$A$21,'rank lookup'!$B$1:$B$21,,0)</f>
        <v>11</v>
      </c>
      <c r="G27" s="1"/>
      <c r="H27" s="19">
        <v>175</v>
      </c>
      <c r="I27" s="19">
        <v>148</v>
      </c>
      <c r="J27" s="5">
        <f t="shared" si="0"/>
        <v>48.326530612244902</v>
      </c>
      <c r="K27" s="4">
        <f t="shared" si="1"/>
        <v>68.897637795275585</v>
      </c>
      <c r="L27">
        <f t="shared" si="2"/>
        <v>5</v>
      </c>
      <c r="M27">
        <f t="shared" si="3"/>
        <v>8.9</v>
      </c>
      <c r="N27" t="str">
        <f t="shared" si="4"/>
        <v>5' 8.9"</v>
      </c>
      <c r="O27">
        <f t="shared" si="5"/>
        <v>326</v>
      </c>
      <c r="P27">
        <f t="shared" si="6"/>
        <v>39</v>
      </c>
      <c r="Q27">
        <f t="shared" si="6"/>
        <v>31</v>
      </c>
      <c r="R27">
        <f t="shared" si="6"/>
        <v>20</v>
      </c>
      <c r="S27">
        <f>_xlfn.XLOOKUP(A27,'November 2022 Data'!$A$4:$A$48,'November 2022 Data'!$H$4:$H$48,,0)</f>
        <v>151</v>
      </c>
      <c r="T27">
        <f t="shared" si="7"/>
        <v>-3</v>
      </c>
    </row>
    <row r="28" spans="1:23">
      <c r="A28" s="1" t="s">
        <v>120</v>
      </c>
      <c r="B28" s="1"/>
      <c r="C28" s="1" t="s">
        <v>135</v>
      </c>
      <c r="D28" s="1" t="s">
        <v>147</v>
      </c>
      <c r="E28" s="1" t="s">
        <v>142</v>
      </c>
      <c r="F28" s="1">
        <f>_xlfn.XLOOKUP(E28,'rank lookup'!$A$1:$A$21,'rank lookup'!$B$1:$B$21,,0)</f>
        <v>12</v>
      </c>
      <c r="G28" s="1"/>
      <c r="H28" s="19">
        <v>178</v>
      </c>
      <c r="I28" s="19">
        <v>165</v>
      </c>
      <c r="J28" s="5">
        <f t="shared" si="0"/>
        <v>52.076757985102894</v>
      </c>
      <c r="K28" s="4">
        <f t="shared" si="1"/>
        <v>70.078740157480311</v>
      </c>
      <c r="L28">
        <f t="shared" si="2"/>
        <v>5</v>
      </c>
      <c r="M28">
        <f t="shared" si="3"/>
        <v>10.1</v>
      </c>
      <c r="N28" t="str">
        <f t="shared" si="4"/>
        <v>5' 10.1"</v>
      </c>
      <c r="O28">
        <f t="shared" si="5"/>
        <v>364</v>
      </c>
      <c r="P28">
        <f t="shared" si="6"/>
        <v>35</v>
      </c>
      <c r="Q28">
        <f t="shared" si="6"/>
        <v>16</v>
      </c>
      <c r="R28">
        <f t="shared" si="6"/>
        <v>9</v>
      </c>
      <c r="S28">
        <f>_xlfn.XLOOKUP(A28,'November 2022 Data'!$A$4:$A$48,'November 2022 Data'!$H$4:$H$48,,0)</f>
        <v>162</v>
      </c>
      <c r="T28">
        <f t="shared" si="7"/>
        <v>3</v>
      </c>
    </row>
    <row r="29" spans="1:23">
      <c r="A29" s="1" t="s">
        <v>88</v>
      </c>
      <c r="B29" s="1"/>
      <c r="C29" s="1" t="s">
        <v>150</v>
      </c>
      <c r="D29" s="1" t="s">
        <v>150</v>
      </c>
      <c r="E29" s="1" t="s">
        <v>142</v>
      </c>
      <c r="F29" s="1">
        <f>_xlfn.XLOOKUP(E29,'rank lookup'!$A$1:$A$21,'rank lookup'!$B$1:$B$21,,0)</f>
        <v>12</v>
      </c>
      <c r="G29" s="1"/>
      <c r="H29" s="19">
        <v>189</v>
      </c>
      <c r="I29" s="19">
        <v>179</v>
      </c>
      <c r="J29" s="5">
        <f t="shared" si="0"/>
        <v>50.110579211108309</v>
      </c>
      <c r="K29" s="4">
        <f t="shared" si="1"/>
        <v>74.409448818897644</v>
      </c>
      <c r="L29">
        <f t="shared" si="2"/>
        <v>6</v>
      </c>
      <c r="M29">
        <f t="shared" si="3"/>
        <v>2.4</v>
      </c>
      <c r="N29" t="str">
        <f t="shared" si="4"/>
        <v>6' 2.4"</v>
      </c>
      <c r="O29">
        <f t="shared" si="5"/>
        <v>395</v>
      </c>
      <c r="P29">
        <f t="shared" si="6"/>
        <v>8</v>
      </c>
      <c r="Q29">
        <f t="shared" si="6"/>
        <v>8</v>
      </c>
      <c r="R29">
        <f t="shared" si="6"/>
        <v>11</v>
      </c>
      <c r="S29">
        <f>_xlfn.XLOOKUP(A29,'November 2022 Data'!$A$4:$A$48,'November 2022 Data'!$H$4:$H$48,,0)</f>
        <v>176</v>
      </c>
      <c r="T29">
        <f t="shared" si="7"/>
        <v>3</v>
      </c>
    </row>
    <row r="30" spans="1:23">
      <c r="A30" s="1" t="s">
        <v>99</v>
      </c>
      <c r="B30" s="1"/>
      <c r="C30" s="1" t="s">
        <v>141</v>
      </c>
      <c r="D30" s="1" t="s">
        <v>135</v>
      </c>
      <c r="E30" s="1" t="s">
        <v>143</v>
      </c>
      <c r="F30" s="1">
        <f>_xlfn.XLOOKUP(E30,'rank lookup'!$A$1:$A$21,'rank lookup'!$B$1:$B$21,,0)</f>
        <v>13</v>
      </c>
      <c r="G30" s="1"/>
      <c r="H30" s="19">
        <v>183</v>
      </c>
      <c r="I30" s="19">
        <v>150</v>
      </c>
      <c r="J30" s="5">
        <f t="shared" si="0"/>
        <v>44.790826838663442</v>
      </c>
      <c r="K30" s="4">
        <f t="shared" si="1"/>
        <v>72.047244094488192</v>
      </c>
      <c r="L30">
        <f t="shared" si="2"/>
        <v>6</v>
      </c>
      <c r="M30">
        <f t="shared" si="3"/>
        <v>0</v>
      </c>
      <c r="N30" t="str">
        <f t="shared" si="4"/>
        <v>6' 0"</v>
      </c>
      <c r="O30">
        <f t="shared" si="5"/>
        <v>331</v>
      </c>
      <c r="P30">
        <f t="shared" si="6"/>
        <v>27</v>
      </c>
      <c r="Q30">
        <f t="shared" si="6"/>
        <v>30</v>
      </c>
      <c r="R30">
        <f t="shared" si="6"/>
        <v>28</v>
      </c>
      <c r="S30">
        <f>_xlfn.XLOOKUP(A30,'November 2022 Data'!$A$4:$A$48,'November 2022 Data'!$H$4:$H$48,,0)</f>
        <v>149</v>
      </c>
      <c r="T30">
        <f t="shared" si="7"/>
        <v>1</v>
      </c>
    </row>
    <row r="31" spans="1:23">
      <c r="A31" s="1" t="s">
        <v>101</v>
      </c>
      <c r="B31" s="1"/>
      <c r="C31" s="1" t="s">
        <v>145</v>
      </c>
      <c r="D31" s="1" t="s">
        <v>143</v>
      </c>
      <c r="E31" s="1" t="s">
        <v>143</v>
      </c>
      <c r="F31" s="1">
        <f>_xlfn.XLOOKUP(E31,'rank lookup'!$A$1:$A$21,'rank lookup'!$B$1:$B$21,,0)</f>
        <v>13</v>
      </c>
      <c r="G31" s="1"/>
      <c r="H31" s="19">
        <v>184</v>
      </c>
      <c r="I31" s="19">
        <v>167</v>
      </c>
      <c r="J31" s="5">
        <f t="shared" si="0"/>
        <v>49.326559546313803</v>
      </c>
      <c r="K31" s="4">
        <f t="shared" si="1"/>
        <v>72.440944881889763</v>
      </c>
      <c r="L31">
        <f t="shared" si="2"/>
        <v>6</v>
      </c>
      <c r="M31">
        <f t="shared" si="3"/>
        <v>0.4</v>
      </c>
      <c r="N31" t="str">
        <f t="shared" si="4"/>
        <v>6' 0.4"</v>
      </c>
      <c r="O31">
        <f t="shared" si="5"/>
        <v>368</v>
      </c>
      <c r="P31">
        <f t="shared" si="6"/>
        <v>22</v>
      </c>
      <c r="Q31">
        <f t="shared" si="6"/>
        <v>15</v>
      </c>
      <c r="R31">
        <f t="shared" si="6"/>
        <v>15</v>
      </c>
      <c r="S31">
        <f>_xlfn.XLOOKUP(A31,'November 2022 Data'!$A$4:$A$48,'November 2022 Data'!$H$4:$H$48,,0)</f>
        <v>167</v>
      </c>
      <c r="T31">
        <f t="shared" si="7"/>
        <v>0</v>
      </c>
    </row>
    <row r="32" spans="1:23">
      <c r="A32" s="1" t="s">
        <v>91</v>
      </c>
      <c r="B32" s="1"/>
      <c r="C32" s="1" t="s">
        <v>135</v>
      </c>
      <c r="D32" s="1" t="s">
        <v>145</v>
      </c>
      <c r="E32" s="1" t="s">
        <v>145</v>
      </c>
      <c r="F32" s="1">
        <f>_xlfn.XLOOKUP(E32,'rank lookup'!$A$1:$A$21,'rank lookup'!$B$1:$B$21,,0)</f>
        <v>14</v>
      </c>
      <c r="G32" s="1"/>
      <c r="H32" s="19">
        <v>190</v>
      </c>
      <c r="I32" s="19">
        <v>184</v>
      </c>
      <c r="J32" s="5">
        <f t="shared" si="0"/>
        <v>50.969529085872573</v>
      </c>
      <c r="K32" s="4">
        <f t="shared" si="1"/>
        <v>74.803149606299215</v>
      </c>
      <c r="L32">
        <f t="shared" si="2"/>
        <v>6</v>
      </c>
      <c r="M32">
        <f t="shared" si="3"/>
        <v>2.8</v>
      </c>
      <c r="N32" t="str">
        <f t="shared" si="4"/>
        <v>6' 2.8"</v>
      </c>
      <c r="O32">
        <f t="shared" si="5"/>
        <v>406</v>
      </c>
      <c r="P32">
        <f t="shared" si="6"/>
        <v>5</v>
      </c>
      <c r="Q32">
        <f t="shared" si="6"/>
        <v>4</v>
      </c>
      <c r="R32">
        <f t="shared" si="6"/>
        <v>10</v>
      </c>
      <c r="S32">
        <f>_xlfn.XLOOKUP(A32,'November 2022 Data'!$A$4:$A$48,'November 2022 Data'!$H$4:$H$48,,0)</f>
        <v>186</v>
      </c>
      <c r="T32">
        <f t="shared" si="7"/>
        <v>-2</v>
      </c>
    </row>
    <row r="33" spans="1:20">
      <c r="A33" t="s">
        <v>155</v>
      </c>
      <c r="C33" s="1" t="s">
        <v>154</v>
      </c>
      <c r="D33" s="1" t="s">
        <v>154</v>
      </c>
      <c r="E33" s="1" t="s">
        <v>145</v>
      </c>
      <c r="F33" s="1">
        <f>_xlfn.XLOOKUP(E33,'rank lookup'!$A$1:$A$21,'rank lookup'!$B$1:$B$21,,0)</f>
        <v>14</v>
      </c>
      <c r="G33" s="1"/>
      <c r="H33" s="19">
        <v>178</v>
      </c>
      <c r="I33" s="19">
        <v>138</v>
      </c>
      <c r="J33" s="5">
        <f t="shared" si="0"/>
        <v>43.555106678449697</v>
      </c>
      <c r="K33" s="4">
        <f t="shared" si="1"/>
        <v>70.078740157480311</v>
      </c>
      <c r="L33">
        <f t="shared" si="2"/>
        <v>5</v>
      </c>
      <c r="M33">
        <f t="shared" si="3"/>
        <v>10.1</v>
      </c>
      <c r="N33" t="str">
        <f t="shared" si="4"/>
        <v>5' 10.1"</v>
      </c>
      <c r="O33">
        <f t="shared" si="5"/>
        <v>304</v>
      </c>
      <c r="P33">
        <f t="shared" si="6"/>
        <v>35</v>
      </c>
      <c r="Q33">
        <f t="shared" si="6"/>
        <v>37</v>
      </c>
      <c r="R33">
        <f t="shared" si="6"/>
        <v>31</v>
      </c>
      <c r="S33">
        <f>_xlfn.XLOOKUP(A33,'November 2022 Data'!$A$4:$A$48,'November 2022 Data'!$H$4:$H$48,,0)</f>
        <v>135</v>
      </c>
      <c r="T33">
        <f t="shared" si="7"/>
        <v>3</v>
      </c>
    </row>
    <row r="34" spans="1:20">
      <c r="A34" s="1" t="s">
        <v>87</v>
      </c>
      <c r="B34" s="1">
        <v>1</v>
      </c>
      <c r="C34" s="1" t="s">
        <v>142</v>
      </c>
      <c r="D34" s="1" t="s">
        <v>142</v>
      </c>
      <c r="E34" s="1" t="s">
        <v>147</v>
      </c>
      <c r="F34" s="1">
        <f>_xlfn.XLOOKUP(E34,'rank lookup'!$A$1:$A$21,'rank lookup'!$B$1:$B$21,,0)</f>
        <v>15</v>
      </c>
      <c r="G34" s="1"/>
      <c r="H34" s="19">
        <v>192</v>
      </c>
      <c r="I34" s="19">
        <v>182</v>
      </c>
      <c r="J34" s="5">
        <f t="shared" si="0"/>
        <v>49.370659722222221</v>
      </c>
      <c r="K34" s="4">
        <f t="shared" si="1"/>
        <v>75.59055118110237</v>
      </c>
      <c r="L34">
        <f t="shared" si="2"/>
        <v>6</v>
      </c>
      <c r="M34">
        <f t="shared" si="3"/>
        <v>3.6</v>
      </c>
      <c r="N34" t="str">
        <f t="shared" si="4"/>
        <v>6' 3.6"</v>
      </c>
      <c r="O34">
        <f t="shared" si="5"/>
        <v>401</v>
      </c>
      <c r="P34">
        <f t="shared" si="6"/>
        <v>2</v>
      </c>
      <c r="Q34">
        <f t="shared" si="6"/>
        <v>5</v>
      </c>
      <c r="R34">
        <f t="shared" si="6"/>
        <v>14</v>
      </c>
      <c r="S34">
        <f>_xlfn.XLOOKUP(A34,'November 2022 Data'!$A$4:$A$48,'November 2022 Data'!$H$4:$H$48,,0)</f>
        <v>179</v>
      </c>
      <c r="T34">
        <f t="shared" si="7"/>
        <v>3</v>
      </c>
    </row>
    <row r="35" spans="1:20">
      <c r="A35" s="1" t="s">
        <v>110</v>
      </c>
      <c r="B35" s="1"/>
      <c r="C35" s="1" t="s">
        <v>151</v>
      </c>
      <c r="D35" s="1" t="s">
        <v>145</v>
      </c>
      <c r="E35" s="1" t="s">
        <v>147</v>
      </c>
      <c r="F35" s="1">
        <f>_xlfn.XLOOKUP(E35,'rank lookup'!$A$1:$A$21,'rank lookup'!$B$1:$B$21,,0)</f>
        <v>15</v>
      </c>
      <c r="G35" s="1"/>
      <c r="H35" s="19">
        <v>183</v>
      </c>
      <c r="I35" s="19">
        <v>137</v>
      </c>
      <c r="J35" s="5">
        <f t="shared" si="0"/>
        <v>40.908955179312613</v>
      </c>
      <c r="K35" s="4">
        <f t="shared" si="1"/>
        <v>72.047244094488192</v>
      </c>
      <c r="L35">
        <f t="shared" si="2"/>
        <v>6</v>
      </c>
      <c r="M35">
        <f t="shared" si="3"/>
        <v>0</v>
      </c>
      <c r="N35" t="str">
        <f t="shared" si="4"/>
        <v>6' 0"</v>
      </c>
      <c r="O35">
        <f t="shared" si="5"/>
        <v>302</v>
      </c>
      <c r="P35">
        <f t="shared" si="6"/>
        <v>27</v>
      </c>
      <c r="Q35">
        <f t="shared" si="6"/>
        <v>38</v>
      </c>
      <c r="R35">
        <f t="shared" si="6"/>
        <v>40</v>
      </c>
      <c r="S35">
        <f>_xlfn.XLOOKUP(A35,'November 2022 Data'!$A$4:$A$48,'November 2022 Data'!$H$4:$H$48,,0)</f>
        <v>135</v>
      </c>
      <c r="T35">
        <f t="shared" si="7"/>
        <v>2</v>
      </c>
    </row>
    <row r="36" spans="1:20">
      <c r="A36" s="1" t="s">
        <v>90</v>
      </c>
      <c r="B36" s="1"/>
      <c r="C36" s="1" t="s">
        <v>148</v>
      </c>
      <c r="D36" s="1" t="s">
        <v>150</v>
      </c>
      <c r="E36" s="1" t="s">
        <v>148</v>
      </c>
      <c r="F36" s="1">
        <f>_xlfn.XLOOKUP(E36,'rank lookup'!$A$1:$A$21,'rank lookup'!$B$1:$B$21,,0)</f>
        <v>16</v>
      </c>
      <c r="G36" s="1"/>
      <c r="H36" s="19">
        <v>189</v>
      </c>
      <c r="I36" s="19">
        <v>161</v>
      </c>
      <c r="J36" s="5">
        <f t="shared" si="0"/>
        <v>45.071526553008034</v>
      </c>
      <c r="K36" s="4">
        <f t="shared" si="1"/>
        <v>74.409448818897644</v>
      </c>
      <c r="L36">
        <f t="shared" si="2"/>
        <v>6</v>
      </c>
      <c r="M36">
        <f t="shared" si="3"/>
        <v>2.4</v>
      </c>
      <c r="N36" t="str">
        <f t="shared" si="4"/>
        <v>6' 2.4"</v>
      </c>
      <c r="O36">
        <f t="shared" si="5"/>
        <v>355</v>
      </c>
      <c r="P36">
        <f t="shared" si="6"/>
        <v>8</v>
      </c>
      <c r="Q36">
        <f t="shared" si="6"/>
        <v>23</v>
      </c>
      <c r="R36">
        <f t="shared" si="6"/>
        <v>26</v>
      </c>
      <c r="S36">
        <f>_xlfn.XLOOKUP(A36,'November 2022 Data'!$A$4:$A$48,'November 2022 Data'!$H$4:$H$48,,0)</f>
        <v>156</v>
      </c>
      <c r="T36">
        <f t="shared" si="7"/>
        <v>5</v>
      </c>
    </row>
    <row r="37" spans="1:20">
      <c r="A37" s="1" t="s">
        <v>167</v>
      </c>
      <c r="D37" t="s">
        <v>152</v>
      </c>
      <c r="E37" t="s">
        <v>148</v>
      </c>
      <c r="F37" s="1">
        <f>_xlfn.XLOOKUP(E37,'rank lookup'!$A$1:$A$21,'rank lookup'!$B$1:$B$21,,0)</f>
        <v>16</v>
      </c>
      <c r="H37" s="19">
        <v>193</v>
      </c>
      <c r="I37" s="19">
        <v>156</v>
      </c>
      <c r="J37" s="5">
        <f t="shared" si="0"/>
        <v>41.880318934736501</v>
      </c>
      <c r="K37" s="4">
        <f t="shared" si="1"/>
        <v>75.984251968503941</v>
      </c>
      <c r="L37">
        <f t="shared" si="2"/>
        <v>6</v>
      </c>
      <c r="M37">
        <f t="shared" si="3"/>
        <v>4</v>
      </c>
      <c r="N37" t="str">
        <f t="shared" si="4"/>
        <v>6' 4"</v>
      </c>
      <c r="O37">
        <f t="shared" si="5"/>
        <v>344</v>
      </c>
      <c r="P37">
        <f t="shared" si="6"/>
        <v>1</v>
      </c>
      <c r="Q37">
        <f t="shared" si="6"/>
        <v>28</v>
      </c>
      <c r="R37">
        <f t="shared" si="6"/>
        <v>36</v>
      </c>
      <c r="S37">
        <f>_xlfn.XLOOKUP(A37,'November 2022 Data'!$A$4:$A$48,'November 2022 Data'!$H$4:$H$48,,0)</f>
        <v>155</v>
      </c>
      <c r="T37">
        <f t="shared" si="7"/>
        <v>1</v>
      </c>
    </row>
    <row r="38" spans="1:20">
      <c r="A38" t="s">
        <v>146</v>
      </c>
      <c r="C38" s="1" t="s">
        <v>147</v>
      </c>
      <c r="D38" s="1" t="s">
        <v>147</v>
      </c>
      <c r="E38" s="1" t="s">
        <v>150</v>
      </c>
      <c r="F38" s="1">
        <f>_xlfn.XLOOKUP(E38,'rank lookup'!$A$1:$A$21,'rank lookup'!$B$1:$B$21,,0)</f>
        <v>17</v>
      </c>
      <c r="G38" s="1"/>
      <c r="H38" s="19">
        <v>189</v>
      </c>
      <c r="I38" s="19">
        <v>163</v>
      </c>
      <c r="J38" s="5">
        <f t="shared" si="0"/>
        <v>45.631421292796958</v>
      </c>
      <c r="K38" s="4">
        <f t="shared" si="1"/>
        <v>74.409448818897644</v>
      </c>
      <c r="L38">
        <f t="shared" si="2"/>
        <v>6</v>
      </c>
      <c r="M38">
        <f t="shared" si="3"/>
        <v>2.4</v>
      </c>
      <c r="N38" t="str">
        <f t="shared" si="4"/>
        <v>6' 2.4"</v>
      </c>
      <c r="O38">
        <f t="shared" si="5"/>
        <v>359</v>
      </c>
      <c r="P38">
        <f t="shared" si="6"/>
        <v>8</v>
      </c>
      <c r="Q38">
        <f t="shared" si="6"/>
        <v>19</v>
      </c>
      <c r="R38">
        <f t="shared" si="6"/>
        <v>24</v>
      </c>
      <c r="S38">
        <f>_xlfn.XLOOKUP(A38,'November 2022 Data'!$A$4:$A$48,'November 2022 Data'!$H$4:$H$48,,0)</f>
        <v>158</v>
      </c>
      <c r="T38">
        <f t="shared" si="7"/>
        <v>5</v>
      </c>
    </row>
    <row r="39" spans="1:20">
      <c r="A39" s="1" t="s">
        <v>122</v>
      </c>
      <c r="B39" s="1"/>
      <c r="C39" s="1" t="s">
        <v>143</v>
      </c>
      <c r="D39" s="1" t="s">
        <v>148</v>
      </c>
      <c r="E39" s="1" t="s">
        <v>150</v>
      </c>
      <c r="F39" s="1">
        <f>_xlfn.XLOOKUP(E39,'rank lookup'!$A$1:$A$21,'rank lookup'!$B$1:$B$21,,0)</f>
        <v>17</v>
      </c>
      <c r="G39" s="1"/>
      <c r="H39" s="19">
        <v>176</v>
      </c>
      <c r="I39" s="19">
        <v>128</v>
      </c>
      <c r="J39" s="5">
        <f t="shared" si="0"/>
        <v>41.32231404958678</v>
      </c>
      <c r="K39" s="4">
        <f t="shared" si="1"/>
        <v>69.29133858267717</v>
      </c>
      <c r="L39">
        <f t="shared" si="2"/>
        <v>5</v>
      </c>
      <c r="M39">
        <f t="shared" si="3"/>
        <v>9.3000000000000007</v>
      </c>
      <c r="N39" t="str">
        <f t="shared" si="4"/>
        <v>5' 9.3"</v>
      </c>
      <c r="O39">
        <f t="shared" si="5"/>
        <v>282</v>
      </c>
      <c r="P39">
        <f t="shared" si="6"/>
        <v>38</v>
      </c>
      <c r="Q39">
        <f t="shared" si="6"/>
        <v>41</v>
      </c>
      <c r="R39">
        <f t="shared" si="6"/>
        <v>39</v>
      </c>
      <c r="S39">
        <f>_xlfn.XLOOKUP(A39,'November 2022 Data'!$A$4:$A$48,'November 2022 Data'!$H$4:$H$48,,0)</f>
        <v>131</v>
      </c>
      <c r="T39">
        <f t="shared" si="7"/>
        <v>-3</v>
      </c>
    </row>
    <row r="40" spans="1:20">
      <c r="A40" s="1" t="s">
        <v>98</v>
      </c>
      <c r="B40" s="1"/>
      <c r="C40" s="1" t="s">
        <v>150</v>
      </c>
      <c r="D40" s="1" t="s">
        <v>151</v>
      </c>
      <c r="E40" s="1" t="s">
        <v>151</v>
      </c>
      <c r="F40" s="1">
        <f>_xlfn.XLOOKUP(E40,'rank lookup'!$A$1:$A$21,'rank lookup'!$B$1:$B$21,,0)</f>
        <v>18</v>
      </c>
      <c r="G40" s="1"/>
      <c r="H40" s="19">
        <v>187</v>
      </c>
      <c r="I40" s="19">
        <v>146</v>
      </c>
      <c r="J40" s="5">
        <f t="shared" si="0"/>
        <v>41.751265406502903</v>
      </c>
      <c r="K40" s="4">
        <f t="shared" si="1"/>
        <v>73.622047244094489</v>
      </c>
      <c r="L40">
        <f t="shared" si="2"/>
        <v>6</v>
      </c>
      <c r="M40">
        <f t="shared" si="3"/>
        <v>1.6</v>
      </c>
      <c r="N40" t="str">
        <f t="shared" si="4"/>
        <v>6' 1.6"</v>
      </c>
      <c r="O40">
        <f t="shared" si="5"/>
        <v>322</v>
      </c>
      <c r="P40">
        <f t="shared" si="6"/>
        <v>14</v>
      </c>
      <c r="Q40">
        <f t="shared" si="6"/>
        <v>32</v>
      </c>
      <c r="R40">
        <f t="shared" si="6"/>
        <v>37</v>
      </c>
      <c r="S40">
        <f>_xlfn.XLOOKUP(A40,'November 2022 Data'!$A$4:$A$48,'November 2022 Data'!$H$4:$H$48,,0)</f>
        <v>145</v>
      </c>
      <c r="T40">
        <f t="shared" si="7"/>
        <v>1</v>
      </c>
    </row>
    <row r="41" spans="1:20">
      <c r="A41" s="1" t="s">
        <v>166</v>
      </c>
      <c r="D41" t="s">
        <v>151</v>
      </c>
      <c r="E41" s="1" t="s">
        <v>151</v>
      </c>
      <c r="F41" s="1">
        <f>_xlfn.XLOOKUP(E41,'rank lookup'!$A$1:$A$21,'rank lookup'!$B$1:$B$21,,0)</f>
        <v>18</v>
      </c>
      <c r="H41" s="19">
        <v>191</v>
      </c>
      <c r="I41" s="19">
        <v>162</v>
      </c>
      <c r="J41" s="5">
        <f t="shared" si="0"/>
        <v>44.40667744853485</v>
      </c>
      <c r="K41" s="4">
        <f t="shared" si="1"/>
        <v>75.196850393700785</v>
      </c>
      <c r="L41">
        <f t="shared" si="2"/>
        <v>6</v>
      </c>
      <c r="M41">
        <f t="shared" si="3"/>
        <v>3.2</v>
      </c>
      <c r="N41" t="str">
        <f t="shared" si="4"/>
        <v>6' 3.2"</v>
      </c>
      <c r="O41">
        <f t="shared" si="5"/>
        <v>357</v>
      </c>
      <c r="P41">
        <f t="shared" si="6"/>
        <v>4</v>
      </c>
      <c r="Q41">
        <f t="shared" si="6"/>
        <v>22</v>
      </c>
      <c r="R41">
        <f t="shared" si="6"/>
        <v>29</v>
      </c>
      <c r="S41">
        <f>_xlfn.XLOOKUP(A41,'November 2022 Data'!$A$4:$A$48,'November 2022 Data'!$H$4:$H$48,,0)</f>
        <v>157</v>
      </c>
      <c r="T41">
        <f t="shared" si="7"/>
        <v>5</v>
      </c>
    </row>
    <row r="42" spans="1:20">
      <c r="A42" s="1" t="s">
        <v>108</v>
      </c>
      <c r="B42" s="1"/>
      <c r="C42" s="1" t="s">
        <v>152</v>
      </c>
      <c r="D42" s="1" t="s">
        <v>170</v>
      </c>
      <c r="E42" s="1" t="s">
        <v>152</v>
      </c>
      <c r="F42" s="1">
        <f>_xlfn.XLOOKUP(E42,'rank lookup'!$A$1:$A$21,'rank lookup'!$B$1:$B$21,,0)</f>
        <v>19</v>
      </c>
      <c r="G42" s="1"/>
      <c r="H42" s="19">
        <v>184</v>
      </c>
      <c r="I42" s="19">
        <v>200</v>
      </c>
      <c r="J42" s="5">
        <f t="shared" si="0"/>
        <v>59.073724007561438</v>
      </c>
      <c r="K42" s="4">
        <f t="shared" si="1"/>
        <v>72.440944881889763</v>
      </c>
      <c r="L42">
        <f t="shared" si="2"/>
        <v>6</v>
      </c>
      <c r="M42">
        <f t="shared" si="3"/>
        <v>0.4</v>
      </c>
      <c r="N42" t="str">
        <f t="shared" si="4"/>
        <v>6' 0.4"</v>
      </c>
      <c r="O42">
        <f t="shared" si="5"/>
        <v>441</v>
      </c>
      <c r="P42">
        <f t="shared" si="6"/>
        <v>22</v>
      </c>
      <c r="Q42">
        <f t="shared" si="6"/>
        <v>2</v>
      </c>
      <c r="R42">
        <f t="shared" si="6"/>
        <v>1</v>
      </c>
      <c r="S42">
        <f>_xlfn.XLOOKUP(A42,'November 2022 Data'!$A$4:$A$48,'November 2022 Data'!$H$4:$H$48,,0)</f>
        <v>200</v>
      </c>
      <c r="T42">
        <f t="shared" si="7"/>
        <v>0</v>
      </c>
    </row>
    <row r="43" spans="1:20">
      <c r="A43" t="s">
        <v>153</v>
      </c>
      <c r="C43" s="1" t="s">
        <v>154</v>
      </c>
      <c r="D43" s="1" t="s">
        <v>170</v>
      </c>
      <c r="E43" s="1" t="s">
        <v>152</v>
      </c>
      <c r="F43" s="1">
        <f>_xlfn.XLOOKUP(E43,'rank lookup'!$A$1:$A$21,'rank lookup'!$B$1:$B$21,,0)</f>
        <v>19</v>
      </c>
      <c r="G43" s="1"/>
      <c r="H43" s="19">
        <v>190</v>
      </c>
      <c r="I43" s="19">
        <v>197</v>
      </c>
      <c r="J43" s="5">
        <f t="shared" si="0"/>
        <v>54.57063711911357</v>
      </c>
      <c r="K43" s="4">
        <f t="shared" si="1"/>
        <v>74.803149606299215</v>
      </c>
      <c r="L43">
        <f t="shared" si="2"/>
        <v>6</v>
      </c>
      <c r="M43">
        <f t="shared" si="3"/>
        <v>2.8</v>
      </c>
      <c r="N43" t="str">
        <f t="shared" si="4"/>
        <v>6' 2.8"</v>
      </c>
      <c r="O43">
        <f t="shared" si="5"/>
        <v>434</v>
      </c>
      <c r="P43">
        <f t="shared" si="6"/>
        <v>5</v>
      </c>
      <c r="Q43">
        <f t="shared" si="6"/>
        <v>3</v>
      </c>
      <c r="R43">
        <f t="shared" si="6"/>
        <v>3</v>
      </c>
      <c r="S43">
        <f>_xlfn.XLOOKUP(A43,'November 2022 Data'!$A$4:$A$48,'November 2022 Data'!$H$4:$H$48,,0)</f>
        <v>197</v>
      </c>
      <c r="T43">
        <f t="shared" si="7"/>
        <v>0</v>
      </c>
    </row>
    <row r="44" spans="1:20">
      <c r="A44" s="1" t="s">
        <v>104</v>
      </c>
      <c r="B44" s="1"/>
      <c r="C44" s="1" t="s">
        <v>140</v>
      </c>
      <c r="D44" s="1" t="s">
        <v>142</v>
      </c>
      <c r="E44" s="1" t="s">
        <v>154</v>
      </c>
      <c r="F44" s="1">
        <f>_xlfn.XLOOKUP(E44,'rank lookup'!$A$1:$A$21,'rank lookup'!$B$1:$B$21,,0)</f>
        <v>20</v>
      </c>
      <c r="G44" s="1"/>
      <c r="H44" s="19">
        <v>186</v>
      </c>
      <c r="I44" s="19">
        <v>171</v>
      </c>
      <c r="J44" s="5">
        <f t="shared" si="0"/>
        <v>49.427679500520291</v>
      </c>
      <c r="K44" s="4">
        <f t="shared" si="1"/>
        <v>73.228346456692918</v>
      </c>
      <c r="L44">
        <f t="shared" si="2"/>
        <v>6</v>
      </c>
      <c r="M44">
        <f t="shared" si="3"/>
        <v>1.2</v>
      </c>
      <c r="N44" t="str">
        <f t="shared" si="4"/>
        <v>6' 1.2"</v>
      </c>
      <c r="O44">
        <f t="shared" si="5"/>
        <v>377</v>
      </c>
      <c r="P44">
        <f t="shared" si="6"/>
        <v>17</v>
      </c>
      <c r="Q44">
        <f t="shared" si="6"/>
        <v>13</v>
      </c>
      <c r="R44">
        <f t="shared" si="6"/>
        <v>13</v>
      </c>
      <c r="S44">
        <f>_xlfn.XLOOKUP(A44,'November 2022 Data'!$A$4:$A$48,'November 2022 Data'!$H$4:$H$48,,0)</f>
        <v>166</v>
      </c>
      <c r="T44">
        <f t="shared" si="7"/>
        <v>5</v>
      </c>
    </row>
    <row r="45" spans="1:20">
      <c r="A45" t="s">
        <v>119</v>
      </c>
      <c r="E45" s="1" t="s">
        <v>154</v>
      </c>
      <c r="F45" s="1">
        <f>_xlfn.XLOOKUP(E45,'rank lookup'!$A$1:$A$21,'rank lookup'!$B$1:$B$21,,0)</f>
        <v>20</v>
      </c>
      <c r="H45" s="19">
        <v>177</v>
      </c>
      <c r="I45" s="19">
        <v>169</v>
      </c>
      <c r="J45" s="5">
        <f t="shared" si="0"/>
        <v>53.943630502090713</v>
      </c>
      <c r="K45" s="4">
        <f t="shared" si="1"/>
        <v>69.685039370078741</v>
      </c>
      <c r="L45">
        <f t="shared" si="2"/>
        <v>5</v>
      </c>
      <c r="M45">
        <f t="shared" si="3"/>
        <v>9.6999999999999993</v>
      </c>
      <c r="N45" t="str">
        <f t="shared" si="4"/>
        <v>5' 9.7"</v>
      </c>
      <c r="O45">
        <f t="shared" si="5"/>
        <v>373</v>
      </c>
      <c r="P45">
        <f t="shared" si="6"/>
        <v>37</v>
      </c>
      <c r="Q45">
        <f t="shared" si="6"/>
        <v>14</v>
      </c>
      <c r="R45">
        <f t="shared" si="6"/>
        <v>5</v>
      </c>
    </row>
    <row r="46" spans="1:20">
      <c r="A46" s="1" t="s">
        <v>113</v>
      </c>
      <c r="B46" s="1"/>
      <c r="C46" s="1" t="s">
        <v>147</v>
      </c>
      <c r="D46" s="1" t="s">
        <v>148</v>
      </c>
      <c r="E46" s="1" t="s">
        <v>179</v>
      </c>
      <c r="F46" s="1" t="e">
        <f>_xlfn.XLOOKUP(E46,'rank lookup'!$A$1:$A$21,'rank lookup'!$B$1:$B$21,,0)</f>
        <v>#N/A</v>
      </c>
      <c r="G46" s="1"/>
      <c r="H46" s="19">
        <v>181</v>
      </c>
      <c r="I46" s="19">
        <v>189</v>
      </c>
      <c r="J46" s="5">
        <f t="shared" si="0"/>
        <v>57.690546686609082</v>
      </c>
      <c r="K46" s="4">
        <f t="shared" si="1"/>
        <v>71.259842519685037</v>
      </c>
      <c r="L46">
        <f t="shared" si="2"/>
        <v>5</v>
      </c>
      <c r="M46">
        <f t="shared" si="3"/>
        <v>11.3</v>
      </c>
      <c r="N46" t="str">
        <f t="shared" si="4"/>
        <v>5' 11.3"</v>
      </c>
      <c r="O46">
        <f t="shared" si="5"/>
        <v>417</v>
      </c>
    </row>
    <row r="47" spans="1:20">
      <c r="A47" s="1" t="s">
        <v>168</v>
      </c>
      <c r="D47" t="s">
        <v>152</v>
      </c>
      <c r="E47" s="1" t="s">
        <v>170</v>
      </c>
      <c r="F47" s="1" t="e">
        <f>_xlfn.XLOOKUP(E47,'rank lookup'!$A$1:$A$21,'rank lookup'!$B$1:$B$21,,0)</f>
        <v>#N/A</v>
      </c>
      <c r="H47" s="19">
        <v>185</v>
      </c>
      <c r="I47" s="19">
        <v>177</v>
      </c>
      <c r="J47" s="5">
        <f t="shared" si="0"/>
        <v>51.716581446311181</v>
      </c>
      <c r="K47" s="4">
        <f t="shared" si="1"/>
        <v>72.834645669291348</v>
      </c>
      <c r="L47">
        <f t="shared" si="2"/>
        <v>6</v>
      </c>
      <c r="M47">
        <f t="shared" si="3"/>
        <v>0.8</v>
      </c>
      <c r="N47" t="str">
        <f t="shared" si="4"/>
        <v>6' 0.8"</v>
      </c>
      <c r="O47">
        <f t="shared" si="5"/>
        <v>390</v>
      </c>
    </row>
    <row r="48" spans="1:20">
      <c r="A48" s="1" t="s">
        <v>126</v>
      </c>
      <c r="B48" s="1"/>
      <c r="C48" s="1" t="s">
        <v>152</v>
      </c>
      <c r="D48" s="1" t="s">
        <v>154</v>
      </c>
      <c r="E48" s="1" t="s">
        <v>180</v>
      </c>
      <c r="F48" s="1" t="e">
        <f>_xlfn.XLOOKUP(E48,'rank lookup'!$A$1:$A$21,'rank lookup'!$B$1:$B$21,,0)</f>
        <v>#N/A</v>
      </c>
      <c r="G48" s="1"/>
      <c r="H48" s="19">
        <v>169</v>
      </c>
      <c r="I48" s="19">
        <v>107</v>
      </c>
      <c r="J48" s="5">
        <f t="shared" si="0"/>
        <v>37.463674241098005</v>
      </c>
      <c r="K48" s="4">
        <f t="shared" si="1"/>
        <v>66.535433070866134</v>
      </c>
      <c r="L48">
        <f t="shared" si="2"/>
        <v>5</v>
      </c>
      <c r="M48">
        <f t="shared" si="3"/>
        <v>6.5</v>
      </c>
      <c r="N48" t="str">
        <f t="shared" si="4"/>
        <v>5' 6.5"</v>
      </c>
      <c r="O48">
        <f t="shared" si="5"/>
        <v>236</v>
      </c>
    </row>
    <row r="49" spans="1:15">
      <c r="A49" s="1" t="s">
        <v>107</v>
      </c>
      <c r="B49" s="1"/>
      <c r="C49" s="1" t="s">
        <v>151</v>
      </c>
      <c r="D49" s="1" t="s">
        <v>169</v>
      </c>
      <c r="E49" s="1" t="s">
        <v>179</v>
      </c>
      <c r="F49" s="1" t="e">
        <f>_xlfn.XLOOKUP(E49,'rank lookup'!$A$1:$A$21,'rank lookup'!$B$1:$B$21,,0)</f>
        <v>#N/A</v>
      </c>
      <c r="G49" s="1"/>
      <c r="H49" s="19">
        <v>185</v>
      </c>
      <c r="I49" s="19">
        <v>181</v>
      </c>
      <c r="J49" s="5">
        <f t="shared" si="0"/>
        <v>52.885317750182615</v>
      </c>
      <c r="K49" s="4">
        <f t="shared" si="1"/>
        <v>72.834645669291348</v>
      </c>
      <c r="L49">
        <f t="shared" si="2"/>
        <v>6</v>
      </c>
      <c r="M49">
        <f t="shared" si="3"/>
        <v>0.8</v>
      </c>
      <c r="N49" t="str">
        <f t="shared" si="4"/>
        <v>6' 0.8"</v>
      </c>
      <c r="O49">
        <f t="shared" si="5"/>
        <v>399</v>
      </c>
    </row>
  </sheetData>
  <autoFilter ref="A3:O38" xr:uid="{7067DD38-AD06-4250-9520-A2F29B57D9C0}">
    <sortState xmlns:xlrd2="http://schemas.microsoft.com/office/spreadsheetml/2017/richdata2" ref="A4:O49">
      <sortCondition ref="F3:F38"/>
    </sortState>
  </autoFilter>
  <hyperlinks>
    <hyperlink ref="C2" r:id="rId1" xr:uid="{56B2D7DA-A872-4581-8686-C2C72C36CD24}"/>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0C5FB-035E-42D8-81B6-EEA918FFAAF4}">
  <dimension ref="A1:S48"/>
  <sheetViews>
    <sheetView zoomScale="106" zoomScaleNormal="106" workbookViewId="0">
      <pane xSplit="1" ySplit="3" topLeftCell="B18" activePane="bottomRight" state="frozen"/>
      <selection pane="topRight" activeCell="B1" sqref="B1"/>
      <selection pane="bottomLeft" activeCell="A4" sqref="A4"/>
      <selection pane="bottomRight" activeCell="J19" sqref="J19"/>
    </sheetView>
  </sheetViews>
  <sheetFormatPr defaultRowHeight="14.5"/>
  <cols>
    <col min="1" max="6" width="21.1796875" customWidth="1"/>
    <col min="9" max="9" width="11.26953125" bestFit="1" customWidth="1"/>
    <col min="10" max="10" width="8.7265625" style="4"/>
    <col min="17" max="17" width="9.54296875" customWidth="1"/>
  </cols>
  <sheetData>
    <row r="1" spans="1:19">
      <c r="C1" t="s">
        <v>174</v>
      </c>
    </row>
    <row r="2" spans="1:19">
      <c r="C2" s="17" t="s">
        <v>162</v>
      </c>
      <c r="D2" s="17"/>
      <c r="O2">
        <f>MAX(O4:O45)</f>
        <v>42</v>
      </c>
      <c r="P2">
        <f>MAX(P4:P45)</f>
        <v>42</v>
      </c>
      <c r="Q2">
        <f>MAX(Q4:Q45)</f>
        <v>42</v>
      </c>
    </row>
    <row r="3" spans="1:19">
      <c r="A3" t="s">
        <v>3</v>
      </c>
      <c r="B3" t="s">
        <v>11</v>
      </c>
      <c r="C3" t="s">
        <v>131</v>
      </c>
      <c r="D3" t="s">
        <v>163</v>
      </c>
      <c r="E3" t="s">
        <v>156</v>
      </c>
      <c r="F3" t="s">
        <v>164</v>
      </c>
      <c r="G3" t="s">
        <v>5</v>
      </c>
      <c r="H3" t="s">
        <v>4</v>
      </c>
      <c r="I3" t="s">
        <v>26</v>
      </c>
      <c r="J3" s="4" t="s">
        <v>6</v>
      </c>
      <c r="K3" t="s">
        <v>7</v>
      </c>
      <c r="L3" t="s">
        <v>8</v>
      </c>
      <c r="M3" t="s">
        <v>9</v>
      </c>
      <c r="N3" t="s">
        <v>10</v>
      </c>
      <c r="O3" t="s">
        <v>171</v>
      </c>
      <c r="P3" t="s">
        <v>172</v>
      </c>
      <c r="Q3" t="s">
        <v>173</v>
      </c>
      <c r="S3" s="14"/>
    </row>
    <row r="4" spans="1:19" ht="37.5">
      <c r="A4" s="1" t="s">
        <v>86</v>
      </c>
      <c r="B4" s="1">
        <v>7</v>
      </c>
      <c r="C4" s="1" t="s">
        <v>14</v>
      </c>
      <c r="D4" s="1" t="s">
        <v>14</v>
      </c>
      <c r="E4" s="1">
        <f>_xlfn.XLOOKUP(D4,'rank lookup'!$A$1:$A$21,'rank lookup'!$B$1:$B$21,,0)</f>
        <v>1</v>
      </c>
      <c r="F4" s="1" t="s">
        <v>165</v>
      </c>
      <c r="G4" s="19">
        <v>192</v>
      </c>
      <c r="H4" s="19">
        <v>181</v>
      </c>
      <c r="I4" s="5">
        <f t="shared" ref="I4:I41" si="0">H4/(G4*G4)*10000</f>
        <v>49.099392361111107</v>
      </c>
      <c r="J4" s="4">
        <f t="shared" ref="J4:J41" si="1">CONVERT(G4,"cm","in")</f>
        <v>75.59055118110237</v>
      </c>
      <c r="K4">
        <f t="shared" ref="K4:K41" si="2">_xlfn.FLOOR.MATH(J4/12)</f>
        <v>6</v>
      </c>
      <c r="L4">
        <f t="shared" ref="L4:L41" si="3">ROUND(J4-K4*12,1)</f>
        <v>3.6</v>
      </c>
      <c r="M4" t="str">
        <f t="shared" ref="M4:M41" si="4">K4&amp;"' "&amp;L4&amp;""""</f>
        <v>6' 3.6"</v>
      </c>
      <c r="N4">
        <f t="shared" ref="N4:N41" si="5">ROUND(CONVERT(H4,"kg","lbm"),0)</f>
        <v>399</v>
      </c>
      <c r="O4">
        <f>_xlfn.RANK.EQ(G4,G$4:G$45)</f>
        <v>2</v>
      </c>
      <c r="P4">
        <f>_xlfn.RANK.EQ(H4,H$4:H$45)</f>
        <v>5</v>
      </c>
      <c r="Q4">
        <f>_xlfn.RANK.EQ(I4,I$4:I$45)</f>
        <v>13</v>
      </c>
    </row>
    <row r="5" spans="1:19">
      <c r="A5" s="1" t="s">
        <v>123</v>
      </c>
      <c r="B5" s="1">
        <v>2</v>
      </c>
      <c r="C5" s="1" t="s">
        <v>39</v>
      </c>
      <c r="D5" s="1" t="s">
        <v>39</v>
      </c>
      <c r="E5" s="1">
        <f>_xlfn.XLOOKUP(D5,'rank lookup'!$A$1:$A$21,'rank lookup'!$B$1:$B$21,,0)</f>
        <v>2</v>
      </c>
      <c r="F5" s="1"/>
      <c r="G5" s="19">
        <v>175</v>
      </c>
      <c r="H5" s="19">
        <v>163</v>
      </c>
      <c r="I5" s="5">
        <f t="shared" si="0"/>
        <v>53.224489795918366</v>
      </c>
      <c r="J5" s="4">
        <f t="shared" si="1"/>
        <v>68.897637795275585</v>
      </c>
      <c r="K5">
        <f t="shared" si="2"/>
        <v>5</v>
      </c>
      <c r="L5">
        <f t="shared" si="3"/>
        <v>8.9</v>
      </c>
      <c r="M5" t="str">
        <f t="shared" si="4"/>
        <v>5' 8.9"</v>
      </c>
      <c r="N5">
        <f t="shared" si="5"/>
        <v>359</v>
      </c>
      <c r="O5">
        <f t="shared" ref="O5:Q45" si="6">_xlfn.RANK.EQ(G5,G$4:G$45)</f>
        <v>38</v>
      </c>
      <c r="P5">
        <f t="shared" si="6"/>
        <v>15</v>
      </c>
      <c r="Q5">
        <f t="shared" si="6"/>
        <v>4</v>
      </c>
    </row>
    <row r="6" spans="1:19">
      <c r="A6" s="1" t="s">
        <v>109</v>
      </c>
      <c r="B6" s="1">
        <v>1</v>
      </c>
      <c r="C6" s="1" t="s">
        <v>39</v>
      </c>
      <c r="D6" s="1" t="s">
        <v>39</v>
      </c>
      <c r="E6" s="1">
        <f>_xlfn.XLOOKUP(D6,'rank lookup'!$A$1:$A$21,'rank lookup'!$B$1:$B$21,,0)</f>
        <v>2</v>
      </c>
      <c r="F6" s="1"/>
      <c r="G6" s="19">
        <v>183</v>
      </c>
      <c r="H6" s="19">
        <v>162</v>
      </c>
      <c r="I6" s="5">
        <f t="shared" si="0"/>
        <v>48.374092985756519</v>
      </c>
      <c r="J6" s="4">
        <f t="shared" si="1"/>
        <v>72.047244094488192</v>
      </c>
      <c r="K6">
        <f t="shared" si="2"/>
        <v>6</v>
      </c>
      <c r="L6">
        <f t="shared" si="3"/>
        <v>0</v>
      </c>
      <c r="M6" t="str">
        <f t="shared" si="4"/>
        <v>6' 0"</v>
      </c>
      <c r="N6">
        <f t="shared" si="5"/>
        <v>357</v>
      </c>
      <c r="O6">
        <f t="shared" si="6"/>
        <v>26</v>
      </c>
      <c r="P6">
        <f t="shared" si="6"/>
        <v>16</v>
      </c>
      <c r="Q6">
        <f t="shared" si="6"/>
        <v>17</v>
      </c>
    </row>
    <row r="7" spans="1:19">
      <c r="A7" s="1" t="s">
        <v>116</v>
      </c>
      <c r="B7" s="1">
        <v>2</v>
      </c>
      <c r="C7" s="1" t="s">
        <v>39</v>
      </c>
      <c r="D7" s="1" t="s">
        <v>31</v>
      </c>
      <c r="E7" s="1">
        <f>_xlfn.XLOOKUP(D7,'rank lookup'!$A$1:$A$21,'rank lookup'!$B$1:$B$21,,0)</f>
        <v>3</v>
      </c>
      <c r="F7" s="1"/>
      <c r="G7" s="19">
        <v>179</v>
      </c>
      <c r="H7" s="19">
        <v>171</v>
      </c>
      <c r="I7" s="5">
        <f t="shared" si="0"/>
        <v>53.369120813957117</v>
      </c>
      <c r="J7" s="4">
        <f t="shared" si="1"/>
        <v>70.472440944881896</v>
      </c>
      <c r="K7">
        <f t="shared" si="2"/>
        <v>5</v>
      </c>
      <c r="L7">
        <f t="shared" si="3"/>
        <v>10.5</v>
      </c>
      <c r="M7" t="str">
        <f t="shared" si="4"/>
        <v>5' 10.5"</v>
      </c>
      <c r="N7">
        <f t="shared" si="5"/>
        <v>377</v>
      </c>
      <c r="O7">
        <f t="shared" si="6"/>
        <v>34</v>
      </c>
      <c r="P7">
        <f t="shared" si="6"/>
        <v>10</v>
      </c>
      <c r="Q7">
        <f t="shared" si="6"/>
        <v>3</v>
      </c>
    </row>
    <row r="8" spans="1:19">
      <c r="A8" s="1" t="s">
        <v>114</v>
      </c>
      <c r="B8" s="1"/>
      <c r="C8" s="1" t="s">
        <v>31</v>
      </c>
      <c r="D8" s="1" t="s">
        <v>31</v>
      </c>
      <c r="E8" s="1">
        <f>_xlfn.XLOOKUP(D8,'rank lookup'!$A$1:$A$21,'rank lookup'!$B$1:$B$21,,0)</f>
        <v>3</v>
      </c>
      <c r="F8" s="1"/>
      <c r="G8" s="19">
        <v>183</v>
      </c>
      <c r="H8" s="19">
        <v>132</v>
      </c>
      <c r="I8" s="5">
        <f t="shared" si="0"/>
        <v>39.415927618023829</v>
      </c>
      <c r="J8" s="4">
        <f t="shared" si="1"/>
        <v>72.047244094488192</v>
      </c>
      <c r="K8">
        <f t="shared" si="2"/>
        <v>6</v>
      </c>
      <c r="L8">
        <f t="shared" si="3"/>
        <v>0</v>
      </c>
      <c r="M8" t="str">
        <f t="shared" si="4"/>
        <v>6' 0"</v>
      </c>
      <c r="N8">
        <f t="shared" si="5"/>
        <v>291</v>
      </c>
      <c r="O8">
        <f t="shared" si="6"/>
        <v>26</v>
      </c>
      <c r="P8">
        <f t="shared" si="6"/>
        <v>39</v>
      </c>
      <c r="Q8">
        <f t="shared" si="6"/>
        <v>39</v>
      </c>
    </row>
    <row r="9" spans="1:19">
      <c r="A9" s="1" t="s">
        <v>95</v>
      </c>
      <c r="B9" s="1"/>
      <c r="C9" s="1" t="s">
        <v>31</v>
      </c>
      <c r="D9" s="1" t="s">
        <v>31</v>
      </c>
      <c r="E9" s="1">
        <f>_xlfn.XLOOKUP(D9,'rank lookup'!$A$1:$A$21,'rank lookup'!$B$1:$B$21,,0)</f>
        <v>3</v>
      </c>
      <c r="F9" s="1"/>
      <c r="G9" s="19">
        <v>185</v>
      </c>
      <c r="H9" s="19">
        <v>140</v>
      </c>
      <c r="I9" s="5">
        <f t="shared" si="0"/>
        <v>40.905770635500367</v>
      </c>
      <c r="J9" s="4">
        <f t="shared" si="1"/>
        <v>72.834645669291348</v>
      </c>
      <c r="K9">
        <f t="shared" si="2"/>
        <v>6</v>
      </c>
      <c r="L9">
        <f t="shared" si="3"/>
        <v>0.8</v>
      </c>
      <c r="M9" t="str">
        <f t="shared" si="4"/>
        <v>6' 0.8"</v>
      </c>
      <c r="N9">
        <f t="shared" si="5"/>
        <v>309</v>
      </c>
      <c r="O9">
        <f t="shared" si="6"/>
        <v>19</v>
      </c>
      <c r="P9">
        <f t="shared" si="6"/>
        <v>33</v>
      </c>
      <c r="Q9">
        <f t="shared" si="6"/>
        <v>36</v>
      </c>
    </row>
    <row r="10" spans="1:19">
      <c r="A10" s="1" t="s">
        <v>112</v>
      </c>
      <c r="B10" s="1">
        <v>1</v>
      </c>
      <c r="C10" s="1" t="s">
        <v>31</v>
      </c>
      <c r="D10" s="1" t="s">
        <v>42</v>
      </c>
      <c r="E10" s="1">
        <f>_xlfn.XLOOKUP(D10,'rank lookup'!$A$1:$A$21,'rank lookup'!$B$1:$B$21,,0)</f>
        <v>4</v>
      </c>
      <c r="F10" s="1"/>
      <c r="G10" s="19">
        <v>182</v>
      </c>
      <c r="H10" s="19">
        <v>161</v>
      </c>
      <c r="I10" s="5">
        <f t="shared" si="0"/>
        <v>48.605240912933226</v>
      </c>
      <c r="J10" s="4">
        <f t="shared" si="1"/>
        <v>71.653543307086608</v>
      </c>
      <c r="K10">
        <f t="shared" si="2"/>
        <v>5</v>
      </c>
      <c r="L10">
        <f t="shared" si="3"/>
        <v>11.7</v>
      </c>
      <c r="M10" t="str">
        <f t="shared" si="4"/>
        <v>5' 11.7"</v>
      </c>
      <c r="N10">
        <f t="shared" si="5"/>
        <v>355</v>
      </c>
      <c r="O10">
        <f t="shared" si="6"/>
        <v>30</v>
      </c>
      <c r="P10">
        <f t="shared" si="6"/>
        <v>18</v>
      </c>
      <c r="Q10">
        <f t="shared" si="6"/>
        <v>15</v>
      </c>
    </row>
    <row r="11" spans="1:19">
      <c r="A11" s="1" t="s">
        <v>102</v>
      </c>
      <c r="B11" s="1"/>
      <c r="C11" s="1" t="s">
        <v>42</v>
      </c>
      <c r="D11" s="1" t="s">
        <v>42</v>
      </c>
      <c r="E11" s="1">
        <f>_xlfn.XLOOKUP(D11,'rank lookup'!$A$1:$A$21,'rank lookup'!$B$1:$B$21,,0)</f>
        <v>4</v>
      </c>
      <c r="F11" s="1"/>
      <c r="G11" s="19">
        <v>185</v>
      </c>
      <c r="H11" s="19">
        <v>138</v>
      </c>
      <c r="I11" s="5">
        <f t="shared" si="0"/>
        <v>40.321402483564647</v>
      </c>
      <c r="J11" s="4">
        <f t="shared" si="1"/>
        <v>72.834645669291348</v>
      </c>
      <c r="K11">
        <f t="shared" si="2"/>
        <v>6</v>
      </c>
      <c r="L11">
        <f t="shared" si="3"/>
        <v>0.8</v>
      </c>
      <c r="M11" t="str">
        <f t="shared" si="4"/>
        <v>6' 0.8"</v>
      </c>
      <c r="N11">
        <f t="shared" si="5"/>
        <v>304</v>
      </c>
      <c r="O11">
        <f t="shared" si="6"/>
        <v>19</v>
      </c>
      <c r="P11">
        <f t="shared" si="6"/>
        <v>34</v>
      </c>
      <c r="Q11">
        <f t="shared" si="6"/>
        <v>37</v>
      </c>
    </row>
    <row r="12" spans="1:19">
      <c r="A12" s="1" t="s">
        <v>124</v>
      </c>
      <c r="B12" s="1"/>
      <c r="C12" s="1" t="s">
        <v>132</v>
      </c>
      <c r="D12" s="1" t="s">
        <v>42</v>
      </c>
      <c r="E12" s="1">
        <f>_xlfn.XLOOKUP(D12,'rank lookup'!$A$1:$A$21,'rank lookup'!$B$1:$B$21,,0)</f>
        <v>4</v>
      </c>
      <c r="F12" s="1"/>
      <c r="G12" s="19">
        <v>174</v>
      </c>
      <c r="H12" s="19">
        <v>133</v>
      </c>
      <c r="I12" s="5">
        <f t="shared" si="0"/>
        <v>43.929184832870916</v>
      </c>
      <c r="J12" s="4">
        <f t="shared" si="1"/>
        <v>68.503937007874015</v>
      </c>
      <c r="K12">
        <f t="shared" si="2"/>
        <v>5</v>
      </c>
      <c r="L12">
        <f t="shared" si="3"/>
        <v>8.5</v>
      </c>
      <c r="M12" t="str">
        <f t="shared" si="4"/>
        <v>5' 8.5"</v>
      </c>
      <c r="N12">
        <f t="shared" si="5"/>
        <v>293</v>
      </c>
      <c r="O12">
        <f t="shared" si="6"/>
        <v>40</v>
      </c>
      <c r="P12">
        <f t="shared" si="6"/>
        <v>38</v>
      </c>
      <c r="Q12">
        <f t="shared" si="6"/>
        <v>25</v>
      </c>
    </row>
    <row r="13" spans="1:19">
      <c r="A13" s="1" t="s">
        <v>92</v>
      </c>
      <c r="B13" s="1">
        <v>2</v>
      </c>
      <c r="C13" s="1" t="s">
        <v>137</v>
      </c>
      <c r="D13" s="1" t="s">
        <v>42</v>
      </c>
      <c r="E13" s="1">
        <f>_xlfn.XLOOKUP(D13,'rank lookup'!$A$1:$A$21,'rank lookup'!$B$1:$B$21,,0)</f>
        <v>4</v>
      </c>
      <c r="F13" s="1"/>
      <c r="G13" s="19">
        <v>189</v>
      </c>
      <c r="H13" s="19">
        <v>174</v>
      </c>
      <c r="I13" s="5">
        <f t="shared" si="0"/>
        <v>48.710842361636011</v>
      </c>
      <c r="J13" s="4">
        <f t="shared" si="1"/>
        <v>74.409448818897644</v>
      </c>
      <c r="K13">
        <f t="shared" si="2"/>
        <v>6</v>
      </c>
      <c r="L13">
        <f t="shared" si="3"/>
        <v>2.4</v>
      </c>
      <c r="M13" t="str">
        <f t="shared" si="4"/>
        <v>6' 2.4"</v>
      </c>
      <c r="N13">
        <f t="shared" si="5"/>
        <v>384</v>
      </c>
      <c r="O13">
        <f t="shared" si="6"/>
        <v>7</v>
      </c>
      <c r="P13">
        <f t="shared" si="6"/>
        <v>9</v>
      </c>
      <c r="Q13">
        <f t="shared" si="6"/>
        <v>14</v>
      </c>
    </row>
    <row r="14" spans="1:19">
      <c r="A14" s="1" t="s">
        <v>94</v>
      </c>
      <c r="B14" s="1"/>
      <c r="C14" s="1" t="s">
        <v>136</v>
      </c>
      <c r="D14" s="1" t="s">
        <v>132</v>
      </c>
      <c r="E14" s="1">
        <f>_xlfn.XLOOKUP(D14,'rank lookup'!$A$1:$A$21,'rank lookup'!$B$1:$B$21,,0)</f>
        <v>5</v>
      </c>
      <c r="F14" s="1"/>
      <c r="G14" s="19">
        <v>189</v>
      </c>
      <c r="H14" s="19">
        <v>167</v>
      </c>
      <c r="I14" s="5">
        <f t="shared" si="0"/>
        <v>46.751210772374797</v>
      </c>
      <c r="J14" s="4">
        <f t="shared" si="1"/>
        <v>74.409448818897644</v>
      </c>
      <c r="K14">
        <f t="shared" si="2"/>
        <v>6</v>
      </c>
      <c r="L14">
        <f t="shared" si="3"/>
        <v>2.4</v>
      </c>
      <c r="M14" t="str">
        <f t="shared" si="4"/>
        <v>6' 2.4"</v>
      </c>
      <c r="N14">
        <f t="shared" si="5"/>
        <v>368</v>
      </c>
      <c r="O14">
        <f t="shared" si="6"/>
        <v>7</v>
      </c>
      <c r="P14">
        <f t="shared" si="6"/>
        <v>12</v>
      </c>
      <c r="Q14">
        <f t="shared" si="6"/>
        <v>21</v>
      </c>
    </row>
    <row r="15" spans="1:19">
      <c r="A15" s="1" t="s">
        <v>96</v>
      </c>
      <c r="B15" s="1"/>
      <c r="C15" s="1" t="s">
        <v>139</v>
      </c>
      <c r="D15" s="1" t="s">
        <v>132</v>
      </c>
      <c r="E15" s="1">
        <f>_xlfn.XLOOKUP(D15,'rank lookup'!$A$1:$A$21,'rank lookup'!$B$1:$B$21,,0)</f>
        <v>5</v>
      </c>
      <c r="F15" s="1"/>
      <c r="G15" s="19">
        <v>186</v>
      </c>
      <c r="H15" s="19">
        <v>182</v>
      </c>
      <c r="I15" s="5">
        <f t="shared" si="0"/>
        <v>52.607237830963122</v>
      </c>
      <c r="J15" s="4">
        <f t="shared" si="1"/>
        <v>73.228346456692918</v>
      </c>
      <c r="K15">
        <f t="shared" si="2"/>
        <v>6</v>
      </c>
      <c r="L15">
        <f t="shared" si="3"/>
        <v>1.2</v>
      </c>
      <c r="M15" t="str">
        <f t="shared" si="4"/>
        <v>6' 1.2"</v>
      </c>
      <c r="N15">
        <f t="shared" si="5"/>
        <v>401</v>
      </c>
      <c r="O15">
        <f t="shared" si="6"/>
        <v>16</v>
      </c>
      <c r="P15">
        <f t="shared" si="6"/>
        <v>4</v>
      </c>
      <c r="Q15">
        <f t="shared" si="6"/>
        <v>5</v>
      </c>
    </row>
    <row r="16" spans="1:19">
      <c r="A16" s="1" t="s">
        <v>89</v>
      </c>
      <c r="B16" s="1">
        <v>1</v>
      </c>
      <c r="C16" s="1" t="s">
        <v>42</v>
      </c>
      <c r="D16" s="1" t="s">
        <v>136</v>
      </c>
      <c r="E16" s="1">
        <f>_xlfn.XLOOKUP(D16,'rank lookup'!$A$1:$A$21,'rank lookup'!$B$1:$B$21,,0)</f>
        <v>6</v>
      </c>
      <c r="F16" s="1"/>
      <c r="G16" s="19">
        <v>190</v>
      </c>
      <c r="H16" s="19">
        <v>212</v>
      </c>
      <c r="I16" s="5">
        <f t="shared" si="0"/>
        <v>58.725761772853183</v>
      </c>
      <c r="J16" s="4">
        <f t="shared" si="1"/>
        <v>74.803149606299215</v>
      </c>
      <c r="K16">
        <f t="shared" si="2"/>
        <v>6</v>
      </c>
      <c r="L16">
        <f t="shared" si="3"/>
        <v>2.8</v>
      </c>
      <c r="M16" t="str">
        <f t="shared" si="4"/>
        <v>6' 2.8"</v>
      </c>
      <c r="N16">
        <f t="shared" si="5"/>
        <v>467</v>
      </c>
      <c r="O16">
        <f t="shared" si="6"/>
        <v>5</v>
      </c>
      <c r="P16">
        <f t="shared" si="6"/>
        <v>1</v>
      </c>
      <c r="Q16">
        <f t="shared" si="6"/>
        <v>1</v>
      </c>
    </row>
    <row r="17" spans="1:17">
      <c r="A17" s="1" t="s">
        <v>117</v>
      </c>
      <c r="B17" s="1"/>
      <c r="C17" s="1" t="s">
        <v>136</v>
      </c>
      <c r="D17" s="1" t="s">
        <v>136</v>
      </c>
      <c r="E17" s="1">
        <f>_xlfn.XLOOKUP(D17,'rank lookup'!$A$1:$A$21,'rank lookup'!$B$1:$B$21,,0)</f>
        <v>6</v>
      </c>
      <c r="F17" s="1"/>
      <c r="G17" s="19">
        <v>180</v>
      </c>
      <c r="H17" s="19">
        <v>153</v>
      </c>
      <c r="I17" s="5">
        <f t="shared" si="0"/>
        <v>47.222222222222221</v>
      </c>
      <c r="J17" s="4">
        <f t="shared" si="1"/>
        <v>70.866141732283467</v>
      </c>
      <c r="K17">
        <f t="shared" si="2"/>
        <v>5</v>
      </c>
      <c r="L17">
        <f t="shared" si="3"/>
        <v>10.9</v>
      </c>
      <c r="M17" t="str">
        <f t="shared" si="4"/>
        <v>5' 10.9"</v>
      </c>
      <c r="N17">
        <f t="shared" si="5"/>
        <v>337</v>
      </c>
      <c r="O17">
        <f t="shared" si="6"/>
        <v>33</v>
      </c>
      <c r="P17">
        <f t="shared" si="6"/>
        <v>26</v>
      </c>
      <c r="Q17">
        <f t="shared" si="6"/>
        <v>20</v>
      </c>
    </row>
    <row r="18" spans="1:17">
      <c r="A18" s="1" t="s">
        <v>133</v>
      </c>
      <c r="C18" t="s">
        <v>132</v>
      </c>
      <c r="D18" s="1" t="s">
        <v>137</v>
      </c>
      <c r="E18" s="1">
        <f>_xlfn.XLOOKUP(D18,'rank lookup'!$A$1:$A$21,'rank lookup'!$B$1:$B$21,,0)</f>
        <v>7</v>
      </c>
      <c r="F18" s="1"/>
      <c r="G18" s="19">
        <v>171</v>
      </c>
      <c r="H18" s="19">
        <v>114</v>
      </c>
      <c r="I18" s="5">
        <f t="shared" si="0"/>
        <v>38.98635477582846</v>
      </c>
      <c r="J18" s="4">
        <f t="shared" si="1"/>
        <v>67.322834645669289</v>
      </c>
      <c r="K18">
        <f t="shared" si="2"/>
        <v>5</v>
      </c>
      <c r="L18">
        <f t="shared" si="3"/>
        <v>7.3</v>
      </c>
      <c r="M18" t="str">
        <f t="shared" si="4"/>
        <v>5' 7.3"</v>
      </c>
      <c r="N18">
        <f t="shared" si="5"/>
        <v>251</v>
      </c>
      <c r="O18">
        <f t="shared" si="6"/>
        <v>41</v>
      </c>
      <c r="P18">
        <f t="shared" si="6"/>
        <v>41</v>
      </c>
      <c r="Q18">
        <f t="shared" si="6"/>
        <v>41</v>
      </c>
    </row>
    <row r="19" spans="1:17">
      <c r="A19" s="1" t="s">
        <v>121</v>
      </c>
      <c r="B19" s="1"/>
      <c r="C19" s="1" t="s">
        <v>137</v>
      </c>
      <c r="D19" s="1" t="s">
        <v>137</v>
      </c>
      <c r="E19" s="1">
        <f>_xlfn.XLOOKUP(D19,'rank lookup'!$A$1:$A$21,'rank lookup'!$B$1:$B$21,,0)</f>
        <v>7</v>
      </c>
      <c r="F19" s="1"/>
      <c r="G19" s="19">
        <v>175</v>
      </c>
      <c r="H19" s="19">
        <v>151</v>
      </c>
      <c r="I19" s="5">
        <f t="shared" si="0"/>
        <v>49.306122448979593</v>
      </c>
      <c r="J19" s="4">
        <f t="shared" si="1"/>
        <v>68.897637795275585</v>
      </c>
      <c r="K19">
        <f t="shared" si="2"/>
        <v>5</v>
      </c>
      <c r="L19">
        <f t="shared" si="3"/>
        <v>8.9</v>
      </c>
      <c r="M19" t="str">
        <f t="shared" si="4"/>
        <v>5' 8.9"</v>
      </c>
      <c r="N19">
        <f t="shared" si="5"/>
        <v>333</v>
      </c>
      <c r="O19">
        <f t="shared" si="6"/>
        <v>38</v>
      </c>
      <c r="P19">
        <f t="shared" si="6"/>
        <v>27</v>
      </c>
      <c r="Q19">
        <f t="shared" si="6"/>
        <v>11</v>
      </c>
    </row>
    <row r="20" spans="1:17">
      <c r="A20" s="1" t="s">
        <v>111</v>
      </c>
      <c r="B20" s="1"/>
      <c r="C20" s="1" t="s">
        <v>140</v>
      </c>
      <c r="D20" s="1" t="s">
        <v>139</v>
      </c>
      <c r="E20" s="1">
        <f>_xlfn.XLOOKUP(D20,'rank lookup'!$A$1:$A$21,'rank lookup'!$B$1:$B$21,,0)</f>
        <v>8</v>
      </c>
      <c r="F20" s="1"/>
      <c r="G20" s="19">
        <v>182</v>
      </c>
      <c r="H20" s="19">
        <v>141</v>
      </c>
      <c r="I20" s="5">
        <f t="shared" si="0"/>
        <v>42.567322787103002</v>
      </c>
      <c r="J20" s="4">
        <f t="shared" si="1"/>
        <v>71.653543307086608</v>
      </c>
      <c r="K20">
        <f t="shared" si="2"/>
        <v>5</v>
      </c>
      <c r="L20">
        <f t="shared" si="3"/>
        <v>11.7</v>
      </c>
      <c r="M20" t="str">
        <f t="shared" si="4"/>
        <v>5' 11.7"</v>
      </c>
      <c r="N20">
        <f t="shared" si="5"/>
        <v>311</v>
      </c>
      <c r="O20">
        <f t="shared" si="6"/>
        <v>30</v>
      </c>
      <c r="P20">
        <f t="shared" si="6"/>
        <v>32</v>
      </c>
      <c r="Q20">
        <f t="shared" si="6"/>
        <v>32</v>
      </c>
    </row>
    <row r="21" spans="1:17">
      <c r="A21" s="1" t="s">
        <v>100</v>
      </c>
      <c r="B21" s="1"/>
      <c r="C21" s="1" t="s">
        <v>141</v>
      </c>
      <c r="D21" s="1" t="s">
        <v>139</v>
      </c>
      <c r="E21" s="1">
        <f>_xlfn.XLOOKUP(D21,'rank lookup'!$A$1:$A$21,'rank lookup'!$B$1:$B$21,,0)</f>
        <v>8</v>
      </c>
      <c r="F21" s="1"/>
      <c r="G21" s="19">
        <v>186</v>
      </c>
      <c r="H21" s="19">
        <v>135</v>
      </c>
      <c r="I21" s="5">
        <f t="shared" si="0"/>
        <v>39.021852237252858</v>
      </c>
      <c r="J21" s="4">
        <f t="shared" si="1"/>
        <v>73.228346456692918</v>
      </c>
      <c r="K21">
        <f t="shared" si="2"/>
        <v>6</v>
      </c>
      <c r="L21">
        <f t="shared" si="3"/>
        <v>1.2</v>
      </c>
      <c r="M21" t="str">
        <f t="shared" si="4"/>
        <v>6' 1.2"</v>
      </c>
      <c r="N21">
        <f t="shared" si="5"/>
        <v>298</v>
      </c>
      <c r="O21">
        <f t="shared" si="6"/>
        <v>16</v>
      </c>
      <c r="P21">
        <f t="shared" si="6"/>
        <v>35</v>
      </c>
      <c r="Q21">
        <f t="shared" si="6"/>
        <v>40</v>
      </c>
    </row>
    <row r="22" spans="1:17">
      <c r="A22" s="1" t="s">
        <v>103</v>
      </c>
      <c r="B22" s="1"/>
      <c r="C22" s="1" t="s">
        <v>142</v>
      </c>
      <c r="D22" s="1" t="s">
        <v>140</v>
      </c>
      <c r="E22" s="1">
        <f>_xlfn.XLOOKUP(D22,'rank lookup'!$A$1:$A$21,'rank lookup'!$B$1:$B$21,,0)</f>
        <v>9</v>
      </c>
      <c r="F22" s="1"/>
      <c r="G22" s="19">
        <v>184</v>
      </c>
      <c r="H22" s="19">
        <v>161</v>
      </c>
      <c r="I22" s="5">
        <f t="shared" si="0"/>
        <v>47.554347826086961</v>
      </c>
      <c r="J22" s="4">
        <f t="shared" si="1"/>
        <v>72.440944881889763</v>
      </c>
      <c r="K22">
        <f t="shared" si="2"/>
        <v>6</v>
      </c>
      <c r="L22">
        <f t="shared" si="3"/>
        <v>0.4</v>
      </c>
      <c r="M22" t="str">
        <f t="shared" si="4"/>
        <v>6' 0.4"</v>
      </c>
      <c r="N22">
        <f t="shared" si="5"/>
        <v>355</v>
      </c>
      <c r="O22">
        <f t="shared" si="6"/>
        <v>22</v>
      </c>
      <c r="P22">
        <f t="shared" si="6"/>
        <v>18</v>
      </c>
      <c r="Q22">
        <f t="shared" si="6"/>
        <v>19</v>
      </c>
    </row>
    <row r="23" spans="1:17">
      <c r="A23" t="s">
        <v>144</v>
      </c>
      <c r="C23" s="1" t="s">
        <v>145</v>
      </c>
      <c r="D23" s="1" t="s">
        <v>140</v>
      </c>
      <c r="E23" s="1">
        <f>_xlfn.XLOOKUP(D23,'rank lookup'!$A$1:$A$21,'rank lookup'!$B$1:$B$21,,0)</f>
        <v>9</v>
      </c>
      <c r="F23" s="1"/>
      <c r="G23" s="19">
        <v>184</v>
      </c>
      <c r="H23" s="19">
        <v>148</v>
      </c>
      <c r="I23" s="5">
        <f t="shared" si="0"/>
        <v>43.714555765595463</v>
      </c>
      <c r="J23" s="4">
        <f t="shared" si="1"/>
        <v>72.440944881889763</v>
      </c>
      <c r="K23">
        <f t="shared" si="2"/>
        <v>6</v>
      </c>
      <c r="L23">
        <f t="shared" si="3"/>
        <v>0.4</v>
      </c>
      <c r="M23" t="str">
        <f t="shared" si="4"/>
        <v>6' 0.4"</v>
      </c>
      <c r="N23">
        <f t="shared" si="5"/>
        <v>326</v>
      </c>
      <c r="O23">
        <f t="shared" si="6"/>
        <v>22</v>
      </c>
      <c r="P23">
        <f t="shared" si="6"/>
        <v>30</v>
      </c>
      <c r="Q23">
        <f t="shared" si="6"/>
        <v>26</v>
      </c>
    </row>
    <row r="24" spans="1:17">
      <c r="A24" s="1" t="s">
        <v>138</v>
      </c>
      <c r="C24" s="1" t="s">
        <v>139</v>
      </c>
      <c r="D24" s="1" t="s">
        <v>141</v>
      </c>
      <c r="E24" s="1">
        <f>_xlfn.XLOOKUP(D24,'rank lookup'!$A$1:$A$21,'rank lookup'!$B$1:$B$21,,0)</f>
        <v>10</v>
      </c>
      <c r="F24" s="1"/>
      <c r="G24" s="19">
        <v>184</v>
      </c>
      <c r="H24" s="19">
        <v>170</v>
      </c>
      <c r="I24" s="5">
        <f t="shared" si="0"/>
        <v>50.21266540642722</v>
      </c>
      <c r="J24" s="4">
        <f t="shared" si="1"/>
        <v>72.440944881889763</v>
      </c>
      <c r="K24">
        <f t="shared" si="2"/>
        <v>6</v>
      </c>
      <c r="L24">
        <f t="shared" si="3"/>
        <v>0.4</v>
      </c>
      <c r="M24" t="str">
        <f t="shared" si="4"/>
        <v>6' 0.4"</v>
      </c>
      <c r="N24">
        <f t="shared" si="5"/>
        <v>375</v>
      </c>
      <c r="O24">
        <f t="shared" si="6"/>
        <v>22</v>
      </c>
      <c r="P24">
        <f t="shared" si="6"/>
        <v>11</v>
      </c>
      <c r="Q24">
        <f t="shared" si="6"/>
        <v>9</v>
      </c>
    </row>
    <row r="25" spans="1:17">
      <c r="A25" t="s">
        <v>149</v>
      </c>
      <c r="C25" s="1" t="s">
        <v>148</v>
      </c>
      <c r="D25" s="1" t="s">
        <v>141</v>
      </c>
      <c r="E25" s="1">
        <f>_xlfn.XLOOKUP(D25,'rank lookup'!$A$1:$A$21,'rank lookup'!$B$1:$B$21,,0)</f>
        <v>10</v>
      </c>
      <c r="F25" s="1"/>
      <c r="G25" s="20">
        <v>187</v>
      </c>
      <c r="H25" s="19">
        <v>154</v>
      </c>
      <c r="I25" s="5">
        <f t="shared" si="0"/>
        <v>44.039005976722237</v>
      </c>
      <c r="J25" s="4">
        <f t="shared" si="1"/>
        <v>73.622047244094489</v>
      </c>
      <c r="K25">
        <f t="shared" si="2"/>
        <v>6</v>
      </c>
      <c r="L25">
        <f t="shared" si="3"/>
        <v>1.6</v>
      </c>
      <c r="M25" t="str">
        <f t="shared" si="4"/>
        <v>6' 1.6"</v>
      </c>
      <c r="N25">
        <f t="shared" si="5"/>
        <v>340</v>
      </c>
      <c r="O25">
        <f t="shared" si="6"/>
        <v>13</v>
      </c>
      <c r="P25">
        <f t="shared" si="6"/>
        <v>24</v>
      </c>
      <c r="Q25">
        <f t="shared" si="6"/>
        <v>24</v>
      </c>
    </row>
    <row r="26" spans="1:17">
      <c r="A26" s="1" t="s">
        <v>99</v>
      </c>
      <c r="B26" s="1"/>
      <c r="C26" s="1" t="s">
        <v>141</v>
      </c>
      <c r="D26" s="1" t="s">
        <v>135</v>
      </c>
      <c r="E26" s="1">
        <f>_xlfn.XLOOKUP(D26,'rank lookup'!$A$1:$A$21,'rank lookup'!$B$1:$B$21,,0)</f>
        <v>11</v>
      </c>
      <c r="F26" s="1"/>
      <c r="G26" s="19">
        <v>183</v>
      </c>
      <c r="H26" s="19">
        <v>149</v>
      </c>
      <c r="I26" s="5">
        <f t="shared" si="0"/>
        <v>44.492221326405691</v>
      </c>
      <c r="J26" s="4">
        <f t="shared" si="1"/>
        <v>72.047244094488192</v>
      </c>
      <c r="K26">
        <f t="shared" si="2"/>
        <v>6</v>
      </c>
      <c r="L26">
        <f t="shared" si="3"/>
        <v>0</v>
      </c>
      <c r="M26" t="str">
        <f t="shared" si="4"/>
        <v>6' 0"</v>
      </c>
      <c r="N26">
        <f t="shared" si="5"/>
        <v>328</v>
      </c>
      <c r="O26">
        <f t="shared" si="6"/>
        <v>26</v>
      </c>
      <c r="P26">
        <f t="shared" si="6"/>
        <v>29</v>
      </c>
      <c r="Q26">
        <f t="shared" si="6"/>
        <v>22</v>
      </c>
    </row>
    <row r="27" spans="1:17">
      <c r="A27" s="1" t="s">
        <v>97</v>
      </c>
      <c r="B27" s="1"/>
      <c r="C27" s="1" t="s">
        <v>143</v>
      </c>
      <c r="D27" s="1" t="s">
        <v>135</v>
      </c>
      <c r="E27" s="1">
        <f>_xlfn.XLOOKUP(D27,'rank lookup'!$A$1:$A$21,'rank lookup'!$B$1:$B$21,,0)</f>
        <v>11</v>
      </c>
      <c r="F27" s="1"/>
      <c r="G27" s="19">
        <v>189</v>
      </c>
      <c r="H27" s="19">
        <v>154</v>
      </c>
      <c r="I27" s="5">
        <f t="shared" si="0"/>
        <v>43.111894963746821</v>
      </c>
      <c r="J27" s="4">
        <f t="shared" si="1"/>
        <v>74.409448818897644</v>
      </c>
      <c r="K27">
        <f t="shared" si="2"/>
        <v>6</v>
      </c>
      <c r="L27">
        <f t="shared" si="3"/>
        <v>2.4</v>
      </c>
      <c r="M27" t="str">
        <f t="shared" si="4"/>
        <v>6' 2.4"</v>
      </c>
      <c r="N27">
        <f t="shared" si="5"/>
        <v>340</v>
      </c>
      <c r="O27">
        <f t="shared" si="6"/>
        <v>7</v>
      </c>
      <c r="P27">
        <f t="shared" si="6"/>
        <v>24</v>
      </c>
      <c r="Q27">
        <f t="shared" si="6"/>
        <v>29</v>
      </c>
    </row>
    <row r="28" spans="1:17">
      <c r="A28" s="1" t="s">
        <v>104</v>
      </c>
      <c r="B28" s="1"/>
      <c r="C28" s="1" t="s">
        <v>140</v>
      </c>
      <c r="D28" s="1" t="s">
        <v>142</v>
      </c>
      <c r="E28" s="1">
        <f>_xlfn.XLOOKUP(D28,'rank lookup'!$A$1:$A$21,'rank lookup'!$B$1:$B$21,,0)</f>
        <v>12</v>
      </c>
      <c r="F28" s="1"/>
      <c r="G28" s="19">
        <v>186</v>
      </c>
      <c r="H28" s="19">
        <v>166</v>
      </c>
      <c r="I28" s="5">
        <f t="shared" si="0"/>
        <v>47.982425713955372</v>
      </c>
      <c r="J28" s="4">
        <f t="shared" si="1"/>
        <v>73.228346456692918</v>
      </c>
      <c r="K28">
        <f t="shared" si="2"/>
        <v>6</v>
      </c>
      <c r="L28">
        <f t="shared" si="3"/>
        <v>1.2</v>
      </c>
      <c r="M28" t="str">
        <f t="shared" si="4"/>
        <v>6' 1.2"</v>
      </c>
      <c r="N28">
        <f t="shared" si="5"/>
        <v>366</v>
      </c>
      <c r="O28">
        <f t="shared" si="6"/>
        <v>16</v>
      </c>
      <c r="P28">
        <f t="shared" si="6"/>
        <v>14</v>
      </c>
      <c r="Q28">
        <f t="shared" si="6"/>
        <v>18</v>
      </c>
    </row>
    <row r="29" spans="1:17">
      <c r="A29" s="1" t="s">
        <v>87</v>
      </c>
      <c r="B29" s="1">
        <v>1</v>
      </c>
      <c r="C29" s="1" t="s">
        <v>142</v>
      </c>
      <c r="D29" s="1" t="s">
        <v>142</v>
      </c>
      <c r="E29" s="1">
        <f>_xlfn.XLOOKUP(D29,'rank lookup'!$A$1:$A$21,'rank lookup'!$B$1:$B$21,,0)</f>
        <v>12</v>
      </c>
      <c r="F29" s="1"/>
      <c r="G29" s="19">
        <v>192</v>
      </c>
      <c r="H29" s="19">
        <v>179</v>
      </c>
      <c r="I29" s="5">
        <f t="shared" si="0"/>
        <v>48.556857638888893</v>
      </c>
      <c r="J29" s="4">
        <f t="shared" si="1"/>
        <v>75.59055118110237</v>
      </c>
      <c r="K29">
        <f t="shared" si="2"/>
        <v>6</v>
      </c>
      <c r="L29">
        <f t="shared" si="3"/>
        <v>3.6</v>
      </c>
      <c r="M29" t="str">
        <f t="shared" si="4"/>
        <v>6' 3.6"</v>
      </c>
      <c r="N29">
        <f t="shared" si="5"/>
        <v>395</v>
      </c>
      <c r="O29">
        <f t="shared" si="6"/>
        <v>2</v>
      </c>
      <c r="P29">
        <f t="shared" si="6"/>
        <v>6</v>
      </c>
      <c r="Q29">
        <f t="shared" si="6"/>
        <v>16</v>
      </c>
    </row>
    <row r="30" spans="1:17">
      <c r="A30" s="1" t="s">
        <v>93</v>
      </c>
      <c r="B30" s="1"/>
      <c r="C30" s="1" t="s">
        <v>42</v>
      </c>
      <c r="D30" s="1" t="s">
        <v>143</v>
      </c>
      <c r="E30" s="1">
        <f>_xlfn.XLOOKUP(D30,'rank lookup'!$A$1:$A$21,'rank lookup'!$B$1:$B$21,,0)</f>
        <v>13</v>
      </c>
      <c r="F30" s="1"/>
      <c r="G30" s="19">
        <v>187</v>
      </c>
      <c r="H30" s="19">
        <v>151</v>
      </c>
      <c r="I30" s="5">
        <f t="shared" si="0"/>
        <v>43.181103262889984</v>
      </c>
      <c r="J30" s="4">
        <f t="shared" si="1"/>
        <v>73.622047244094489</v>
      </c>
      <c r="K30">
        <f t="shared" si="2"/>
        <v>6</v>
      </c>
      <c r="L30">
        <f t="shared" si="3"/>
        <v>1.6</v>
      </c>
      <c r="M30" t="str">
        <f t="shared" si="4"/>
        <v>6' 1.6"</v>
      </c>
      <c r="N30">
        <f t="shared" si="5"/>
        <v>333</v>
      </c>
      <c r="O30">
        <f t="shared" si="6"/>
        <v>13</v>
      </c>
      <c r="P30">
        <f t="shared" si="6"/>
        <v>27</v>
      </c>
      <c r="Q30">
        <f t="shared" si="6"/>
        <v>28</v>
      </c>
    </row>
    <row r="31" spans="1:17">
      <c r="A31" s="1" t="s">
        <v>101</v>
      </c>
      <c r="B31" s="1"/>
      <c r="C31" s="1" t="s">
        <v>145</v>
      </c>
      <c r="D31" s="1" t="s">
        <v>143</v>
      </c>
      <c r="E31" s="1">
        <f>_xlfn.XLOOKUP(D31,'rank lookup'!$A$1:$A$21,'rank lookup'!$B$1:$B$21,,0)</f>
        <v>13</v>
      </c>
      <c r="F31" s="1"/>
      <c r="G31" s="19">
        <v>184</v>
      </c>
      <c r="H31" s="19">
        <v>167</v>
      </c>
      <c r="I31" s="5">
        <f t="shared" si="0"/>
        <v>49.326559546313803</v>
      </c>
      <c r="J31" s="4">
        <f t="shared" si="1"/>
        <v>72.440944881889763</v>
      </c>
      <c r="K31">
        <f t="shared" si="2"/>
        <v>6</v>
      </c>
      <c r="L31">
        <f t="shared" si="3"/>
        <v>0.4</v>
      </c>
      <c r="M31" t="str">
        <f t="shared" si="4"/>
        <v>6' 0.4"</v>
      </c>
      <c r="N31">
        <f t="shared" si="5"/>
        <v>368</v>
      </c>
      <c r="O31">
        <f t="shared" si="6"/>
        <v>22</v>
      </c>
      <c r="P31">
        <f t="shared" si="6"/>
        <v>12</v>
      </c>
      <c r="Q31">
        <f t="shared" si="6"/>
        <v>10</v>
      </c>
    </row>
    <row r="32" spans="1:17">
      <c r="A32" s="1" t="s">
        <v>91</v>
      </c>
      <c r="B32" s="1"/>
      <c r="C32" s="1" t="s">
        <v>135</v>
      </c>
      <c r="D32" s="1" t="s">
        <v>145</v>
      </c>
      <c r="E32" s="1">
        <f>_xlfn.XLOOKUP(D32,'rank lookup'!$A$1:$A$21,'rank lookup'!$B$1:$B$21,,0)</f>
        <v>14</v>
      </c>
      <c r="F32" s="1"/>
      <c r="G32" s="19">
        <v>190</v>
      </c>
      <c r="H32" s="19">
        <v>186</v>
      </c>
      <c r="I32" s="5">
        <f t="shared" si="0"/>
        <v>51.523545706371188</v>
      </c>
      <c r="J32" s="4">
        <f t="shared" si="1"/>
        <v>74.803149606299215</v>
      </c>
      <c r="K32">
        <f t="shared" si="2"/>
        <v>6</v>
      </c>
      <c r="L32">
        <f t="shared" si="3"/>
        <v>2.8</v>
      </c>
      <c r="M32" t="str">
        <f t="shared" si="4"/>
        <v>6' 2.8"</v>
      </c>
      <c r="N32">
        <f t="shared" si="5"/>
        <v>410</v>
      </c>
      <c r="O32">
        <f t="shared" si="6"/>
        <v>5</v>
      </c>
      <c r="P32">
        <f t="shared" si="6"/>
        <v>3</v>
      </c>
      <c r="Q32">
        <f t="shared" si="6"/>
        <v>7</v>
      </c>
    </row>
    <row r="33" spans="1:17">
      <c r="A33" s="1" t="s">
        <v>110</v>
      </c>
      <c r="B33" s="1"/>
      <c r="C33" s="1" t="s">
        <v>151</v>
      </c>
      <c r="D33" s="1" t="s">
        <v>145</v>
      </c>
      <c r="E33" s="1">
        <f>_xlfn.XLOOKUP(D33,'rank lookup'!$A$1:$A$21,'rank lookup'!$B$1:$B$21,,0)</f>
        <v>14</v>
      </c>
      <c r="F33" s="1"/>
      <c r="G33" s="19">
        <v>183</v>
      </c>
      <c r="H33" s="19">
        <v>135</v>
      </c>
      <c r="I33" s="5">
        <f t="shared" si="0"/>
        <v>40.311744154797097</v>
      </c>
      <c r="J33" s="4">
        <f t="shared" si="1"/>
        <v>72.047244094488192</v>
      </c>
      <c r="K33">
        <f t="shared" si="2"/>
        <v>6</v>
      </c>
      <c r="L33">
        <f t="shared" si="3"/>
        <v>0</v>
      </c>
      <c r="M33" t="str">
        <f t="shared" si="4"/>
        <v>6' 0"</v>
      </c>
      <c r="N33">
        <f t="shared" si="5"/>
        <v>298</v>
      </c>
      <c r="O33">
        <f t="shared" si="6"/>
        <v>26</v>
      </c>
      <c r="P33">
        <f t="shared" si="6"/>
        <v>35</v>
      </c>
      <c r="Q33">
        <f t="shared" si="6"/>
        <v>38</v>
      </c>
    </row>
    <row r="34" spans="1:17">
      <c r="A34" s="1" t="s">
        <v>120</v>
      </c>
      <c r="B34" s="1"/>
      <c r="C34" s="1" t="s">
        <v>135</v>
      </c>
      <c r="D34" s="1" t="s">
        <v>147</v>
      </c>
      <c r="E34" s="1">
        <f>_xlfn.XLOOKUP(D34,'rank lookup'!$A$1:$A$21,'rank lookup'!$B$1:$B$21,,0)</f>
        <v>15</v>
      </c>
      <c r="F34" s="1"/>
      <c r="G34" s="19">
        <v>178</v>
      </c>
      <c r="H34" s="19">
        <v>162</v>
      </c>
      <c r="I34" s="5">
        <f t="shared" si="0"/>
        <v>51.129907839919206</v>
      </c>
      <c r="J34" s="4">
        <f t="shared" si="1"/>
        <v>70.078740157480311</v>
      </c>
      <c r="K34">
        <f t="shared" si="2"/>
        <v>5</v>
      </c>
      <c r="L34">
        <f t="shared" si="3"/>
        <v>10.1</v>
      </c>
      <c r="M34" t="str">
        <f t="shared" si="4"/>
        <v>5' 10.1"</v>
      </c>
      <c r="N34">
        <f t="shared" si="5"/>
        <v>357</v>
      </c>
      <c r="O34">
        <f t="shared" si="6"/>
        <v>35</v>
      </c>
      <c r="P34">
        <f t="shared" si="6"/>
        <v>16</v>
      </c>
      <c r="Q34">
        <f t="shared" si="6"/>
        <v>8</v>
      </c>
    </row>
    <row r="35" spans="1:17">
      <c r="A35" t="s">
        <v>146</v>
      </c>
      <c r="C35" s="1" t="s">
        <v>147</v>
      </c>
      <c r="D35" s="1" t="s">
        <v>147</v>
      </c>
      <c r="E35" s="1">
        <f>_xlfn.XLOOKUP(D35,'rank lookup'!$A$1:$A$21,'rank lookup'!$B$1:$B$21,,0)</f>
        <v>15</v>
      </c>
      <c r="F35" s="1"/>
      <c r="G35" s="19">
        <v>189</v>
      </c>
      <c r="H35" s="19">
        <v>158</v>
      </c>
      <c r="I35" s="5">
        <f t="shared" si="0"/>
        <v>44.23168444332466</v>
      </c>
      <c r="J35" s="4">
        <f t="shared" si="1"/>
        <v>74.409448818897644</v>
      </c>
      <c r="K35">
        <f t="shared" si="2"/>
        <v>6</v>
      </c>
      <c r="L35">
        <f t="shared" si="3"/>
        <v>2.4</v>
      </c>
      <c r="M35" t="str">
        <f t="shared" si="4"/>
        <v>6' 2.4"</v>
      </c>
      <c r="N35">
        <f t="shared" si="5"/>
        <v>348</v>
      </c>
      <c r="O35">
        <f t="shared" si="6"/>
        <v>7</v>
      </c>
      <c r="P35">
        <f t="shared" si="6"/>
        <v>20</v>
      </c>
      <c r="Q35">
        <f t="shared" si="6"/>
        <v>23</v>
      </c>
    </row>
    <row r="36" spans="1:17">
      <c r="A36" s="1" t="s">
        <v>122</v>
      </c>
      <c r="B36" s="1"/>
      <c r="C36" s="1" t="s">
        <v>143</v>
      </c>
      <c r="D36" s="1" t="s">
        <v>148</v>
      </c>
      <c r="E36" s="1">
        <f>_xlfn.XLOOKUP(D36,'rank lookup'!$A$1:$A$21,'rank lookup'!$B$1:$B$21,,0)</f>
        <v>16</v>
      </c>
      <c r="F36" s="1"/>
      <c r="G36" s="19">
        <v>176</v>
      </c>
      <c r="H36" s="19">
        <v>131</v>
      </c>
      <c r="I36" s="5">
        <f t="shared" si="0"/>
        <v>42.290805785123965</v>
      </c>
      <c r="J36" s="4">
        <f t="shared" si="1"/>
        <v>69.29133858267717</v>
      </c>
      <c r="K36">
        <f t="shared" si="2"/>
        <v>5</v>
      </c>
      <c r="L36">
        <f t="shared" si="3"/>
        <v>9.3000000000000007</v>
      </c>
      <c r="M36" t="str">
        <f t="shared" si="4"/>
        <v>5' 9.3"</v>
      </c>
      <c r="N36">
        <f t="shared" si="5"/>
        <v>289</v>
      </c>
      <c r="O36">
        <f t="shared" si="6"/>
        <v>37</v>
      </c>
      <c r="P36">
        <f t="shared" si="6"/>
        <v>40</v>
      </c>
      <c r="Q36">
        <f t="shared" si="6"/>
        <v>33</v>
      </c>
    </row>
    <row r="37" spans="1:17">
      <c r="A37" s="1" t="s">
        <v>113</v>
      </c>
      <c r="B37" s="1"/>
      <c r="C37" s="1" t="s">
        <v>147</v>
      </c>
      <c r="D37" s="1" t="s">
        <v>148</v>
      </c>
      <c r="E37" s="1">
        <f>_xlfn.XLOOKUP(D37,'rank lookup'!$A$1:$A$21,'rank lookup'!$B$1:$B$21,,0)</f>
        <v>16</v>
      </c>
      <c r="F37" s="1"/>
      <c r="G37" s="19">
        <v>181</v>
      </c>
      <c r="H37" s="19">
        <v>189</v>
      </c>
      <c r="I37" s="5">
        <f t="shared" si="0"/>
        <v>57.690546686609082</v>
      </c>
      <c r="J37" s="4">
        <f t="shared" si="1"/>
        <v>71.259842519685037</v>
      </c>
      <c r="K37">
        <f t="shared" si="2"/>
        <v>5</v>
      </c>
      <c r="L37">
        <f t="shared" si="3"/>
        <v>11.3</v>
      </c>
      <c r="M37" t="str">
        <f t="shared" si="4"/>
        <v>5' 11.3"</v>
      </c>
      <c r="N37">
        <f t="shared" si="5"/>
        <v>417</v>
      </c>
      <c r="O37">
        <f t="shared" si="6"/>
        <v>32</v>
      </c>
      <c r="P37">
        <f t="shared" si="6"/>
        <v>2</v>
      </c>
      <c r="Q37">
        <f t="shared" si="6"/>
        <v>2</v>
      </c>
    </row>
    <row r="38" spans="1:17">
      <c r="A38" s="1" t="s">
        <v>90</v>
      </c>
      <c r="B38" s="1"/>
      <c r="C38" s="1" t="s">
        <v>148</v>
      </c>
      <c r="D38" s="1" t="s">
        <v>150</v>
      </c>
      <c r="E38" s="1">
        <f>_xlfn.XLOOKUP(D38,'rank lookup'!$A$1:$A$21,'rank lookup'!$B$1:$B$21,,0)</f>
        <v>17</v>
      </c>
      <c r="F38" s="1"/>
      <c r="G38" s="19">
        <v>189</v>
      </c>
      <c r="H38" s="19">
        <v>156</v>
      </c>
      <c r="I38" s="5">
        <f t="shared" si="0"/>
        <v>43.671789703535737</v>
      </c>
      <c r="J38" s="4">
        <f t="shared" si="1"/>
        <v>74.409448818897644</v>
      </c>
      <c r="K38">
        <f t="shared" si="2"/>
        <v>6</v>
      </c>
      <c r="L38">
        <f t="shared" si="3"/>
        <v>2.4</v>
      </c>
      <c r="M38" t="str">
        <f t="shared" si="4"/>
        <v>6' 2.4"</v>
      </c>
      <c r="N38">
        <f t="shared" si="5"/>
        <v>344</v>
      </c>
      <c r="O38">
        <f t="shared" si="6"/>
        <v>7</v>
      </c>
      <c r="P38">
        <f t="shared" si="6"/>
        <v>22</v>
      </c>
      <c r="Q38">
        <f t="shared" si="6"/>
        <v>27</v>
      </c>
    </row>
    <row r="39" spans="1:17">
      <c r="A39" s="1" t="s">
        <v>88</v>
      </c>
      <c r="B39" s="1"/>
      <c r="C39" s="1" t="s">
        <v>150</v>
      </c>
      <c r="D39" s="1" t="s">
        <v>150</v>
      </c>
      <c r="E39" s="1">
        <f>_xlfn.XLOOKUP(D39,'rank lookup'!$A$1:$A$21,'rank lookup'!$B$1:$B$21,,0)</f>
        <v>17</v>
      </c>
      <c r="F39" s="1"/>
      <c r="G39" s="19">
        <v>189</v>
      </c>
      <c r="H39" s="19">
        <v>176</v>
      </c>
      <c r="I39" s="5">
        <f t="shared" si="0"/>
        <v>49.270737101424935</v>
      </c>
      <c r="J39" s="4">
        <f t="shared" si="1"/>
        <v>74.409448818897644</v>
      </c>
      <c r="K39">
        <f t="shared" si="2"/>
        <v>6</v>
      </c>
      <c r="L39">
        <f t="shared" si="3"/>
        <v>2.4</v>
      </c>
      <c r="M39" t="str">
        <f t="shared" si="4"/>
        <v>6' 2.4"</v>
      </c>
      <c r="N39">
        <f t="shared" si="5"/>
        <v>388</v>
      </c>
      <c r="O39">
        <f t="shared" si="6"/>
        <v>7</v>
      </c>
      <c r="P39">
        <f t="shared" si="6"/>
        <v>8</v>
      </c>
      <c r="Q39">
        <f t="shared" si="6"/>
        <v>12</v>
      </c>
    </row>
    <row r="40" spans="1:17">
      <c r="A40" s="1" t="s">
        <v>98</v>
      </c>
      <c r="B40" s="1"/>
      <c r="C40" s="1" t="s">
        <v>150</v>
      </c>
      <c r="D40" s="1" t="s">
        <v>151</v>
      </c>
      <c r="E40" s="1">
        <f>_xlfn.XLOOKUP(D40,'rank lookup'!$A$1:$A$21,'rank lookup'!$B$1:$B$21,,0)</f>
        <v>18</v>
      </c>
      <c r="F40" s="1"/>
      <c r="G40" s="19">
        <v>187</v>
      </c>
      <c r="H40" s="19">
        <v>145</v>
      </c>
      <c r="I40" s="5">
        <f t="shared" si="0"/>
        <v>41.465297835225485</v>
      </c>
      <c r="J40" s="4">
        <f t="shared" si="1"/>
        <v>73.622047244094489</v>
      </c>
      <c r="K40">
        <f t="shared" si="2"/>
        <v>6</v>
      </c>
      <c r="L40">
        <f t="shared" si="3"/>
        <v>1.6</v>
      </c>
      <c r="M40" t="str">
        <f t="shared" si="4"/>
        <v>6' 1.6"</v>
      </c>
      <c r="N40">
        <f t="shared" si="5"/>
        <v>320</v>
      </c>
      <c r="O40">
        <f t="shared" si="6"/>
        <v>13</v>
      </c>
      <c r="P40">
        <f t="shared" si="6"/>
        <v>31</v>
      </c>
      <c r="Q40">
        <f t="shared" si="6"/>
        <v>35</v>
      </c>
    </row>
    <row r="41" spans="1:17">
      <c r="A41" s="1" t="s">
        <v>166</v>
      </c>
      <c r="D41" t="s">
        <v>151</v>
      </c>
      <c r="E41" s="1">
        <f>_xlfn.XLOOKUP(D41,'rank lookup'!$A$1:$A$21,'rank lookup'!$B$1:$B$21,,0)</f>
        <v>18</v>
      </c>
      <c r="G41" s="19">
        <v>191</v>
      </c>
      <c r="H41" s="19">
        <v>157</v>
      </c>
      <c r="I41" s="5">
        <f t="shared" si="0"/>
        <v>43.036100984073904</v>
      </c>
      <c r="J41" s="4">
        <f t="shared" si="1"/>
        <v>75.196850393700785</v>
      </c>
      <c r="K41">
        <f t="shared" si="2"/>
        <v>6</v>
      </c>
      <c r="L41">
        <f t="shared" si="3"/>
        <v>3.2</v>
      </c>
      <c r="M41" t="str">
        <f t="shared" si="4"/>
        <v>6' 3.2"</v>
      </c>
      <c r="N41">
        <f t="shared" si="5"/>
        <v>346</v>
      </c>
      <c r="O41">
        <f t="shared" si="6"/>
        <v>4</v>
      </c>
      <c r="P41">
        <f t="shared" si="6"/>
        <v>21</v>
      </c>
      <c r="Q41">
        <f t="shared" si="6"/>
        <v>30</v>
      </c>
    </row>
    <row r="42" spans="1:17">
      <c r="A42" s="1" t="s">
        <v>167</v>
      </c>
      <c r="D42" t="s">
        <v>152</v>
      </c>
      <c r="E42" s="1">
        <f>_xlfn.XLOOKUP(D42,'rank lookup'!$A$1:$A$21,'rank lookup'!$B$1:$B$21,,0)</f>
        <v>19</v>
      </c>
      <c r="G42" s="19">
        <v>193</v>
      </c>
      <c r="H42" s="19">
        <v>155</v>
      </c>
      <c r="I42" s="5">
        <f t="shared" ref="I42:I43" si="7">H42/(G42*G42)*10000</f>
        <v>41.611855351821525</v>
      </c>
      <c r="J42" s="4">
        <f t="shared" ref="J42:J43" si="8">CONVERT(G42,"cm","in")</f>
        <v>75.984251968503941</v>
      </c>
      <c r="K42">
        <f t="shared" ref="K42:K43" si="9">_xlfn.FLOOR.MATH(J42/12)</f>
        <v>6</v>
      </c>
      <c r="L42">
        <f t="shared" ref="L42:L43" si="10">ROUND(J42-K42*12,1)</f>
        <v>4</v>
      </c>
      <c r="M42" t="str">
        <f t="shared" ref="M42:M43" si="11">K42&amp;"' "&amp;L42&amp;""""</f>
        <v>6' 4"</v>
      </c>
      <c r="N42">
        <f t="shared" ref="N42:N43" si="12">ROUND(CONVERT(H42,"kg","lbm"),0)</f>
        <v>342</v>
      </c>
      <c r="O42">
        <f t="shared" si="6"/>
        <v>1</v>
      </c>
      <c r="P42">
        <f t="shared" si="6"/>
        <v>23</v>
      </c>
      <c r="Q42">
        <f t="shared" si="6"/>
        <v>34</v>
      </c>
    </row>
    <row r="43" spans="1:17">
      <c r="A43" s="1" t="s">
        <v>168</v>
      </c>
      <c r="D43" t="s">
        <v>152</v>
      </c>
      <c r="E43" s="1">
        <f>_xlfn.XLOOKUP(D43,'rank lookup'!$A$1:$A$21,'rank lookup'!$B$1:$B$21,,0)</f>
        <v>19</v>
      </c>
      <c r="G43" s="19">
        <v>185</v>
      </c>
      <c r="H43" s="19">
        <v>177</v>
      </c>
      <c r="I43" s="5">
        <f t="shared" si="7"/>
        <v>51.716581446311181</v>
      </c>
      <c r="J43" s="4">
        <f t="shared" si="8"/>
        <v>72.834645669291348</v>
      </c>
      <c r="K43">
        <f t="shared" si="9"/>
        <v>6</v>
      </c>
      <c r="L43">
        <f t="shared" si="10"/>
        <v>0.8</v>
      </c>
      <c r="M43" t="str">
        <f t="shared" si="11"/>
        <v>6' 0.8"</v>
      </c>
      <c r="N43">
        <f t="shared" si="12"/>
        <v>390</v>
      </c>
      <c r="O43">
        <f t="shared" si="6"/>
        <v>19</v>
      </c>
      <c r="P43">
        <f t="shared" si="6"/>
        <v>7</v>
      </c>
      <c r="Q43">
        <f t="shared" si="6"/>
        <v>6</v>
      </c>
    </row>
    <row r="44" spans="1:17">
      <c r="A44" s="1" t="s">
        <v>126</v>
      </c>
      <c r="B44" s="1"/>
      <c r="C44" s="1" t="s">
        <v>152</v>
      </c>
      <c r="D44" s="1" t="s">
        <v>154</v>
      </c>
      <c r="E44" s="1">
        <f>_xlfn.XLOOKUP(D44,'rank lookup'!$A$1:$A$21,'rank lookup'!$B$1:$B$21,,0)</f>
        <v>20</v>
      </c>
      <c r="F44" s="1"/>
      <c r="G44" s="19">
        <v>169</v>
      </c>
      <c r="H44" s="19">
        <v>107</v>
      </c>
      <c r="I44" s="5">
        <f>H44/(G44*G44)*10000</f>
        <v>37.463674241098005</v>
      </c>
      <c r="J44" s="4">
        <f>CONVERT(G44,"cm","in")</f>
        <v>66.535433070866134</v>
      </c>
      <c r="K44">
        <f>_xlfn.FLOOR.MATH(J44/12)</f>
        <v>5</v>
      </c>
      <c r="L44">
        <f>ROUND(J44-K44*12,1)</f>
        <v>6.5</v>
      </c>
      <c r="M44" t="str">
        <f>K44&amp;"' "&amp;L44&amp;""""</f>
        <v>5' 6.5"</v>
      </c>
      <c r="N44">
        <f>ROUND(CONVERT(H44,"kg","lbm"),0)</f>
        <v>236</v>
      </c>
      <c r="O44">
        <f t="shared" si="6"/>
        <v>42</v>
      </c>
      <c r="P44">
        <f t="shared" si="6"/>
        <v>42</v>
      </c>
      <c r="Q44">
        <f t="shared" si="6"/>
        <v>42</v>
      </c>
    </row>
    <row r="45" spans="1:17">
      <c r="A45" t="s">
        <v>155</v>
      </c>
      <c r="C45" s="1" t="s">
        <v>154</v>
      </c>
      <c r="D45" s="1" t="s">
        <v>154</v>
      </c>
      <c r="E45" s="1">
        <f>_xlfn.XLOOKUP(D45,'rank lookup'!$A$1:$A$21,'rank lookup'!$B$1:$B$21,,0)</f>
        <v>20</v>
      </c>
      <c r="F45" s="1"/>
      <c r="G45" s="19">
        <v>178</v>
      </c>
      <c r="H45" s="19">
        <v>135</v>
      </c>
      <c r="I45" s="5">
        <f>H45/(G45*G45)*10000</f>
        <v>42.608256533266008</v>
      </c>
      <c r="J45" s="4">
        <f>CONVERT(G45,"cm","in")</f>
        <v>70.078740157480311</v>
      </c>
      <c r="K45">
        <f>_xlfn.FLOOR.MATH(J45/12)</f>
        <v>5</v>
      </c>
      <c r="L45">
        <f>ROUND(J45-K45*12,1)</f>
        <v>10.1</v>
      </c>
      <c r="M45" t="str">
        <f>K45&amp;"' "&amp;L45&amp;""""</f>
        <v>5' 10.1"</v>
      </c>
      <c r="N45">
        <f>ROUND(CONVERT(H45,"kg","lbm"),0)</f>
        <v>298</v>
      </c>
      <c r="O45">
        <f t="shared" si="6"/>
        <v>35</v>
      </c>
      <c r="P45">
        <f t="shared" si="6"/>
        <v>35</v>
      </c>
      <c r="Q45">
        <f t="shared" si="6"/>
        <v>31</v>
      </c>
    </row>
    <row r="46" spans="1:17">
      <c r="A46" s="1" t="s">
        <v>108</v>
      </c>
      <c r="B46" s="1"/>
      <c r="C46" s="1" t="s">
        <v>152</v>
      </c>
      <c r="D46" s="1" t="s">
        <v>170</v>
      </c>
      <c r="E46" s="1" t="e">
        <f>_xlfn.XLOOKUP(D46,'rank lookup'!$A$1:$A$21,'rank lookup'!$B$1:$B$21,,0)</f>
        <v>#N/A</v>
      </c>
      <c r="F46" s="1"/>
      <c r="G46" s="19">
        <v>184</v>
      </c>
      <c r="H46" s="19">
        <v>200</v>
      </c>
      <c r="I46" s="5">
        <f>H46/(G46*G46)*10000</f>
        <v>59.073724007561438</v>
      </c>
      <c r="J46" s="4">
        <f>CONVERT(G46,"cm","in")</f>
        <v>72.440944881889763</v>
      </c>
      <c r="K46">
        <f>_xlfn.FLOOR.MATH(J46/12)</f>
        <v>6</v>
      </c>
      <c r="L46">
        <f>ROUND(J46-K46*12,1)</f>
        <v>0.4</v>
      </c>
      <c r="M46" t="str">
        <f>K46&amp;"' "&amp;L46&amp;""""</f>
        <v>6' 0.4"</v>
      </c>
      <c r="N46">
        <f>ROUND(CONVERT(H46,"kg","lbm"),0)</f>
        <v>441</v>
      </c>
    </row>
    <row r="47" spans="1:17">
      <c r="A47" t="s">
        <v>153</v>
      </c>
      <c r="C47" s="1" t="s">
        <v>154</v>
      </c>
      <c r="D47" s="1" t="s">
        <v>170</v>
      </c>
      <c r="E47" s="1" t="e">
        <f>_xlfn.XLOOKUP(D47,'rank lookup'!$A$1:$A$21,'rank lookup'!$B$1:$B$21,,0)</f>
        <v>#N/A</v>
      </c>
      <c r="F47" s="1"/>
      <c r="G47" s="19">
        <v>190</v>
      </c>
      <c r="H47" s="19">
        <v>197</v>
      </c>
      <c r="I47" s="5">
        <f>H47/(G47*G47)*10000</f>
        <v>54.57063711911357</v>
      </c>
      <c r="J47" s="4">
        <f>CONVERT(G47,"cm","in")</f>
        <v>74.803149606299215</v>
      </c>
      <c r="K47">
        <f>_xlfn.FLOOR.MATH(J47/12)</f>
        <v>6</v>
      </c>
      <c r="L47">
        <f>ROUND(J47-K47*12,1)</f>
        <v>2.8</v>
      </c>
      <c r="M47" t="str">
        <f>K47&amp;"' "&amp;L47&amp;""""</f>
        <v>6' 2.8"</v>
      </c>
      <c r="N47">
        <f>ROUND(CONVERT(H47,"kg","lbm"),0)</f>
        <v>434</v>
      </c>
    </row>
    <row r="48" spans="1:17">
      <c r="A48" s="1" t="s">
        <v>107</v>
      </c>
      <c r="B48" s="1"/>
      <c r="C48" s="1" t="s">
        <v>151</v>
      </c>
      <c r="D48" s="1" t="s">
        <v>169</v>
      </c>
      <c r="E48" s="1" t="e">
        <f>_xlfn.XLOOKUP(D48,'rank lookup'!$A$1:$A$21,'rank lookup'!$B$1:$B$21,,0)</f>
        <v>#N/A</v>
      </c>
      <c r="F48" s="1"/>
      <c r="G48" s="19">
        <v>185</v>
      </c>
      <c r="H48" s="19">
        <v>181</v>
      </c>
      <c r="I48" s="5">
        <f>H48/(G48*G48)*10000</f>
        <v>52.885317750182615</v>
      </c>
      <c r="J48" s="4">
        <f>CONVERT(G48,"cm","in")</f>
        <v>72.834645669291348</v>
      </c>
      <c r="K48">
        <f>_xlfn.FLOOR.MATH(J48/12)</f>
        <v>6</v>
      </c>
      <c r="L48">
        <f>ROUND(J48-K48*12,1)</f>
        <v>0.8</v>
      </c>
      <c r="M48" t="str">
        <f>K48&amp;"' "&amp;L48&amp;""""</f>
        <v>6' 0.8"</v>
      </c>
      <c r="N48">
        <f>ROUND(CONVERT(H48,"kg","lbm"),0)</f>
        <v>399</v>
      </c>
    </row>
  </sheetData>
  <autoFilter ref="A3:N38" xr:uid="{7067DD38-AD06-4250-9520-A2F29B57D9C0}">
    <sortState xmlns:xlrd2="http://schemas.microsoft.com/office/spreadsheetml/2017/richdata2" ref="A4:N48">
      <sortCondition ref="E3:E38"/>
    </sortState>
  </autoFilter>
  <hyperlinks>
    <hyperlink ref="C2" r:id="rId1" xr:uid="{9E619F93-654C-496F-B4AE-BA5E3EB171CA}"/>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2F901-5000-4C2B-AE00-4BA96D54DB07}">
  <dimension ref="A1:B21"/>
  <sheetViews>
    <sheetView workbookViewId="0">
      <selection activeCell="B19" sqref="B19"/>
    </sheetView>
  </sheetViews>
  <sheetFormatPr defaultRowHeight="14.5"/>
  <sheetData>
    <row r="1" spans="1:2">
      <c r="A1" t="s" cm="1">
        <v>42</v>
      </c>
      <c r="B1">
        <v>4</v>
      </c>
    </row>
    <row r="2" spans="1:2">
      <c r="A2" t="s">
        <v>132</v>
      </c>
      <c r="B2" cm="1">
        <f t="array" ref="B2:B17">_xlfn.SEQUENCE(16,1,5)</f>
        <v>5</v>
      </c>
    </row>
    <row r="3" spans="1:2">
      <c r="A3" t="s">
        <v>136</v>
      </c>
      <c r="B3">
        <v>6</v>
      </c>
    </row>
    <row r="4" spans="1:2">
      <c r="A4" t="s">
        <v>137</v>
      </c>
      <c r="B4">
        <v>7</v>
      </c>
    </row>
    <row r="5" spans="1:2">
      <c r="A5" t="s">
        <v>139</v>
      </c>
      <c r="B5">
        <v>8</v>
      </c>
    </row>
    <row r="6" spans="1:2">
      <c r="A6" t="s">
        <v>140</v>
      </c>
      <c r="B6">
        <v>9</v>
      </c>
    </row>
    <row r="7" spans="1:2">
      <c r="A7" t="s">
        <v>141</v>
      </c>
      <c r="B7">
        <v>10</v>
      </c>
    </row>
    <row r="8" spans="1:2">
      <c r="A8" t="s">
        <v>135</v>
      </c>
      <c r="B8">
        <v>11</v>
      </c>
    </row>
    <row r="9" spans="1:2">
      <c r="A9" t="s">
        <v>142</v>
      </c>
      <c r="B9">
        <v>12</v>
      </c>
    </row>
    <row r="10" spans="1:2">
      <c r="A10" t="s">
        <v>143</v>
      </c>
      <c r="B10">
        <v>13</v>
      </c>
    </row>
    <row r="11" spans="1:2">
      <c r="A11" t="s">
        <v>145</v>
      </c>
      <c r="B11">
        <v>14</v>
      </c>
    </row>
    <row r="12" spans="1:2">
      <c r="A12" t="s">
        <v>147</v>
      </c>
      <c r="B12">
        <v>15</v>
      </c>
    </row>
    <row r="13" spans="1:2">
      <c r="A13" t="s">
        <v>148</v>
      </c>
      <c r="B13">
        <v>16</v>
      </c>
    </row>
    <row r="14" spans="1:2">
      <c r="A14" t="s">
        <v>150</v>
      </c>
      <c r="B14">
        <v>17</v>
      </c>
    </row>
    <row r="15" spans="1:2">
      <c r="A15" t="s">
        <v>151</v>
      </c>
      <c r="B15">
        <v>18</v>
      </c>
    </row>
    <row r="16" spans="1:2">
      <c r="A16" t="s">
        <v>152</v>
      </c>
      <c r="B16">
        <v>19</v>
      </c>
    </row>
    <row r="17" spans="1:2">
      <c r="A17" t="s">
        <v>154</v>
      </c>
      <c r="B17">
        <v>20</v>
      </c>
    </row>
    <row r="18" spans="1:2">
      <c r="A18" t="s">
        <v>186</v>
      </c>
      <c r="B18">
        <v>21</v>
      </c>
    </row>
    <row r="19" spans="1:2">
      <c r="A19" t="s">
        <v>39</v>
      </c>
      <c r="B19">
        <v>2</v>
      </c>
    </row>
    <row r="20" spans="1:2">
      <c r="A20" t="s">
        <v>31</v>
      </c>
      <c r="B20">
        <v>3</v>
      </c>
    </row>
    <row r="21" spans="1:2">
      <c r="A21" t="s">
        <v>14</v>
      </c>
      <c r="B21">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A925F-9B6D-46E4-ABB5-54DF9881E168}">
  <sheetPr codeName="Sheet6"/>
  <dimension ref="A2:AG44"/>
  <sheetViews>
    <sheetView workbookViewId="0">
      <selection activeCell="K5" sqref="K5"/>
    </sheetView>
  </sheetViews>
  <sheetFormatPr defaultRowHeight="14.5"/>
  <cols>
    <col min="1" max="3" width="21.1796875" customWidth="1"/>
    <col min="6" max="6" width="11.26953125" bestFit="1" customWidth="1"/>
    <col min="7" max="7" width="9" style="4"/>
    <col min="12" max="13" width="9"/>
    <col min="15" max="33" width="9"/>
  </cols>
  <sheetData>
    <row r="2" spans="1:33">
      <c r="A2" t="s">
        <v>3</v>
      </c>
      <c r="B2" t="s">
        <v>11</v>
      </c>
      <c r="C2" t="s">
        <v>12</v>
      </c>
      <c r="D2" t="s">
        <v>5</v>
      </c>
      <c r="E2" t="s">
        <v>4</v>
      </c>
      <c r="F2" t="s">
        <v>26</v>
      </c>
      <c r="G2" s="4" t="s">
        <v>6</v>
      </c>
      <c r="H2" t="s">
        <v>7</v>
      </c>
      <c r="I2" t="s">
        <v>8</v>
      </c>
      <c r="J2" t="s">
        <v>9</v>
      </c>
      <c r="K2" t="s">
        <v>10</v>
      </c>
      <c r="M2" s="15" t="s">
        <v>52</v>
      </c>
      <c r="O2" t="s">
        <v>53</v>
      </c>
      <c r="P2">
        <v>1</v>
      </c>
      <c r="Q2">
        <f>P2+1</f>
        <v>2</v>
      </c>
      <c r="R2">
        <f t="shared" ref="R2:U2" si="0">Q2+1</f>
        <v>3</v>
      </c>
      <c r="S2">
        <f t="shared" si="0"/>
        <v>4</v>
      </c>
      <c r="T2">
        <f t="shared" si="0"/>
        <v>5</v>
      </c>
      <c r="U2">
        <f t="shared" si="0"/>
        <v>6</v>
      </c>
      <c r="W2">
        <v>1</v>
      </c>
      <c r="X2">
        <f>W2+1</f>
        <v>2</v>
      </c>
      <c r="Y2">
        <f t="shared" ref="Y2:AB2" si="1">X2+1</f>
        <v>3</v>
      </c>
      <c r="Z2">
        <f t="shared" si="1"/>
        <v>4</v>
      </c>
      <c r="AA2">
        <f t="shared" si="1"/>
        <v>5</v>
      </c>
      <c r="AB2">
        <f t="shared" si="1"/>
        <v>6</v>
      </c>
      <c r="AC2" s="14" t="s">
        <v>59</v>
      </c>
      <c r="AG2" s="14"/>
    </row>
    <row r="3" spans="1:33">
      <c r="A3" s="1" t="s">
        <v>85</v>
      </c>
      <c r="C3" s="1" t="s">
        <v>13</v>
      </c>
      <c r="D3" s="2">
        <v>194</v>
      </c>
      <c r="E3" s="2">
        <v>194</v>
      </c>
      <c r="F3" s="5">
        <f>E3/(D3*D3)*10000</f>
        <v>51.546391752577321</v>
      </c>
      <c r="G3" s="4">
        <f>CONVERT(D3,"cm","in")</f>
        <v>76.377952755905511</v>
      </c>
      <c r="H3">
        <f>_xlfn.FLOOR.MATH(G3/12)</f>
        <v>6</v>
      </c>
      <c r="I3">
        <f>ROUND(G3-H3*12,1)</f>
        <v>4.4000000000000004</v>
      </c>
      <c r="J3" t="str">
        <f>H3&amp;"' "&amp;I3&amp;""""</f>
        <v>6' 4.4"</v>
      </c>
      <c r="K3">
        <f>ROUND(CONVERT(E3,"kg","lbm"),0)</f>
        <v>428</v>
      </c>
      <c r="L3">
        <v>1</v>
      </c>
      <c r="M3" s="7" t="e">
        <f t="array" aca="1" ref="M3:M44" ca="1">[1]!ClustAnal(D3:F44,P7,P11,P9,,P13)</f>
        <v>#NAME?</v>
      </c>
      <c r="O3" t="s">
        <v>57</v>
      </c>
      <c r="P3" s="10" t="e">
        <f ca="1">AVERAGEIF($M$3:$M$44,P$2,$D$3:$D$44)</f>
        <v>#DIV/0!</v>
      </c>
      <c r="Q3" s="10" t="e">
        <f t="shared" ref="Q3:U3" ca="1" si="2">AVERAGEIF($M$3:$M$44,Q$2,$D$3:$D$44)</f>
        <v>#DIV/0!</v>
      </c>
      <c r="R3" s="10" t="e">
        <f t="shared" ca="1" si="2"/>
        <v>#DIV/0!</v>
      </c>
      <c r="S3" s="10" t="e">
        <f t="shared" ca="1" si="2"/>
        <v>#DIV/0!</v>
      </c>
      <c r="T3" s="10" t="e">
        <f t="shared" ca="1" si="2"/>
        <v>#DIV/0!</v>
      </c>
      <c r="U3" s="7" t="e">
        <f t="shared" ca="1" si="2"/>
        <v>#DIV/0!</v>
      </c>
      <c r="W3" s="10" t="e">
        <f t="array" aca="1" ref="W3" ca="1">SUM(ABS(TRANSPOSE($D3:$F3)-P$3:P$5)^$P$9)</f>
        <v>#DIV/0!</v>
      </c>
      <c r="X3" s="10" t="e">
        <f t="array" aca="1" ref="X3" ca="1">SUM(ABS(TRANSPOSE($D3:$F3)-Q$3:Q$5)^$P$9)</f>
        <v>#DIV/0!</v>
      </c>
      <c r="Y3" s="10" t="e">
        <f t="array" aca="1" ref="Y3" ca="1">SUM(ABS(TRANSPOSE($D3:$F3)-R$3:R$5)^$P$9)</f>
        <v>#DIV/0!</v>
      </c>
      <c r="Z3" s="10" t="e">
        <f t="array" aca="1" ref="Z3" ca="1">SUM(ABS(TRANSPOSE($D3:$F3)-S$3:S$5)^$P$9)</f>
        <v>#DIV/0!</v>
      </c>
      <c r="AA3" s="10" t="e">
        <f t="array" aca="1" ref="AA3" ca="1">SUM(ABS(TRANSPOSE($D3:$F3)-T$3:T$5)^$P$9)</f>
        <v>#DIV/0!</v>
      </c>
      <c r="AB3" s="7" t="e">
        <f t="array" aca="1" ref="AB3" ca="1">SUM(ABS(TRANSPOSE($D3:$F3)-U$3:U$5)^$P$9)</f>
        <v>#DIV/0!</v>
      </c>
      <c r="AC3" s="7" t="e">
        <f ca="1">MIN(W3:AB3)</f>
        <v>#DIV/0!</v>
      </c>
    </row>
    <row r="4" spans="1:33">
      <c r="A4" s="1" t="s">
        <v>86</v>
      </c>
      <c r="B4" s="1">
        <v>5</v>
      </c>
      <c r="C4" s="1" t="s">
        <v>14</v>
      </c>
      <c r="D4" s="2">
        <v>192</v>
      </c>
      <c r="E4" s="2">
        <v>184</v>
      </c>
      <c r="F4" s="5">
        <f t="shared" ref="F4:F44" si="3">E4/(D4*D4)*10000</f>
        <v>49.913194444444443</v>
      </c>
      <c r="G4" s="4">
        <f t="shared" ref="G4:G44" si="4">CONVERT(D4,"cm","in")</f>
        <v>75.59055118110237</v>
      </c>
      <c r="H4">
        <f t="shared" ref="H4:H44" si="5">_xlfn.FLOOR.MATH(G4/12)</f>
        <v>6</v>
      </c>
      <c r="I4">
        <f t="shared" ref="I4:I44" si="6">ROUND(G4-H4*12,1)</f>
        <v>3.6</v>
      </c>
      <c r="J4" t="str">
        <f t="shared" ref="J4:J44" si="7">H4&amp;"' "&amp;I4&amp;""""</f>
        <v>6' 3.6"</v>
      </c>
      <c r="K4">
        <f t="shared" ref="K4:K44" si="8">ROUND(CONVERT(E4,"kg","lbm"),0)</f>
        <v>406</v>
      </c>
      <c r="L4">
        <f>L3+1</f>
        <v>2</v>
      </c>
      <c r="M4" s="8" t="e">
        <f ca="1"/>
        <v>#NAME?</v>
      </c>
      <c r="O4" t="s">
        <v>58</v>
      </c>
      <c r="P4" s="11" t="e">
        <f ca="1">AVERAGEIF($M$3:$M$44,P$2,$E$3:$E$44)</f>
        <v>#DIV/0!</v>
      </c>
      <c r="Q4" s="11" t="e">
        <f t="shared" ref="Q4:U4" ca="1" si="9">AVERAGEIF($M$3:$M$44,Q$2,$E$3:$E$44)</f>
        <v>#DIV/0!</v>
      </c>
      <c r="R4" s="11" t="e">
        <f t="shared" ca="1" si="9"/>
        <v>#DIV/0!</v>
      </c>
      <c r="S4" s="11" t="e">
        <f t="shared" ca="1" si="9"/>
        <v>#DIV/0!</v>
      </c>
      <c r="T4" s="11" t="e">
        <f t="shared" ca="1" si="9"/>
        <v>#DIV/0!</v>
      </c>
      <c r="U4" s="9" t="e">
        <f t="shared" ca="1" si="9"/>
        <v>#DIV/0!</v>
      </c>
      <c r="W4" s="10" t="e">
        <f t="array" aca="1" ref="W4" ca="1">SUM(ABS(TRANSPOSE($D4:$F4)-P$3:P$5)^$P$9)</f>
        <v>#DIV/0!</v>
      </c>
      <c r="X4" s="10" t="e">
        <f t="array" aca="1" ref="X4" ca="1">SUM(ABS(TRANSPOSE($D4:$F4)-Q$3:Q$5)^$P$9)</f>
        <v>#DIV/0!</v>
      </c>
      <c r="Y4" s="10" t="e">
        <f t="array" aca="1" ref="Y4" ca="1">SUM(ABS(TRANSPOSE($D4:$F4)-R$3:R$5)^$P$9)</f>
        <v>#DIV/0!</v>
      </c>
      <c r="Z4" s="10" t="e">
        <f t="array" aca="1" ref="Z4" ca="1">SUM(ABS(TRANSPOSE($D4:$F4)-S$3:S$5)^$P$9)</f>
        <v>#DIV/0!</v>
      </c>
      <c r="AA4" s="10" t="e">
        <f t="array" aca="1" ref="AA4" ca="1">SUM(ABS(TRANSPOSE($D4:$F4)-T$3:T$5)^$P$9)</f>
        <v>#DIV/0!</v>
      </c>
      <c r="AB4" s="7" t="e">
        <f t="array" aca="1" ref="AB4" ca="1">SUM(ABS(TRANSPOSE($D4:$F4)-U$3:U$5)^$P$9)</f>
        <v>#DIV/0!</v>
      </c>
      <c r="AC4" s="7" t="e">
        <f t="shared" ref="AC4:AC44" ca="1" si="10">MIN(W4:AB4)</f>
        <v>#DIV/0!</v>
      </c>
    </row>
    <row r="5" spans="1:33">
      <c r="A5" s="1" t="s">
        <v>87</v>
      </c>
      <c r="B5" s="1">
        <v>1</v>
      </c>
      <c r="C5" s="1" t="s">
        <v>15</v>
      </c>
      <c r="D5" s="2">
        <v>191</v>
      </c>
      <c r="E5" s="2">
        <v>182</v>
      </c>
      <c r="F5" s="5">
        <f t="shared" si="3"/>
        <v>49.888983306378663</v>
      </c>
      <c r="G5" s="4">
        <f t="shared" si="4"/>
        <v>75.196850393700785</v>
      </c>
      <c r="H5">
        <f t="shared" si="5"/>
        <v>6</v>
      </c>
      <c r="I5">
        <f t="shared" si="6"/>
        <v>3.2</v>
      </c>
      <c r="J5" t="str">
        <f t="shared" si="7"/>
        <v>6' 3.2"</v>
      </c>
      <c r="K5">
        <f t="shared" si="8"/>
        <v>401</v>
      </c>
      <c r="L5">
        <f t="shared" ref="L5:L44" si="11">L4+1</f>
        <v>3</v>
      </c>
      <c r="M5" s="8" t="e">
        <f ca="1"/>
        <v>#NAME?</v>
      </c>
      <c r="O5" t="s">
        <v>84</v>
      </c>
      <c r="P5" s="11" t="e">
        <f ca="1">AVERAGEIF($M$3:$M$44,P$2,$F$3:$F$44)</f>
        <v>#DIV/0!</v>
      </c>
      <c r="Q5" s="12" t="e">
        <f t="shared" ref="Q5:U5" ca="1" si="12">AVERAGEIF($M$3:$M$44,Q$2,$F$3:$F$44)</f>
        <v>#DIV/0!</v>
      </c>
      <c r="R5" s="12" t="e">
        <f t="shared" ca="1" si="12"/>
        <v>#DIV/0!</v>
      </c>
      <c r="S5" s="12" t="e">
        <f t="shared" ca="1" si="12"/>
        <v>#DIV/0!</v>
      </c>
      <c r="T5" s="12" t="e">
        <f t="shared" ca="1" si="12"/>
        <v>#DIV/0!</v>
      </c>
      <c r="U5" s="13" t="e">
        <f t="shared" ca="1" si="12"/>
        <v>#DIV/0!</v>
      </c>
      <c r="W5" s="10" t="e">
        <f t="array" aca="1" ref="W5" ca="1">SUM(ABS(TRANSPOSE($D5:$F5)-P$3:P$5)^$P$9)</f>
        <v>#DIV/0!</v>
      </c>
      <c r="X5" s="10" t="e">
        <f t="array" aca="1" ref="X5" ca="1">SUM(ABS(TRANSPOSE($D5:$F5)-Q$3:Q$5)^$P$9)</f>
        <v>#DIV/0!</v>
      </c>
      <c r="Y5" s="10" t="e">
        <f t="array" aca="1" ref="Y5" ca="1">SUM(ABS(TRANSPOSE($D5:$F5)-R$3:R$5)^$P$9)</f>
        <v>#DIV/0!</v>
      </c>
      <c r="Z5" s="10" t="e">
        <f t="array" aca="1" ref="Z5" ca="1">SUM(ABS(TRANSPOSE($D5:$F5)-S$3:S$5)^$P$9)</f>
        <v>#DIV/0!</v>
      </c>
      <c r="AA5" s="10" t="e">
        <f t="array" aca="1" ref="AA5" ca="1">SUM(ABS(TRANSPOSE($D5:$F5)-T$3:T$5)^$P$9)</f>
        <v>#DIV/0!</v>
      </c>
      <c r="AB5" s="7" t="e">
        <f t="array" aca="1" ref="AB5" ca="1">SUM(ABS(TRANSPOSE($D5:$F5)-U$3:U$5)^$P$9)</f>
        <v>#DIV/0!</v>
      </c>
      <c r="AC5" s="7" t="e">
        <f t="shared" ca="1" si="10"/>
        <v>#DIV/0!</v>
      </c>
    </row>
    <row r="6" spans="1:33">
      <c r="A6" s="1" t="s">
        <v>88</v>
      </c>
      <c r="B6" s="1"/>
      <c r="C6" s="1" t="s">
        <v>16</v>
      </c>
      <c r="D6" s="2">
        <v>191</v>
      </c>
      <c r="E6" s="2">
        <v>182</v>
      </c>
      <c r="F6" s="5">
        <f t="shared" si="3"/>
        <v>49.888983306378663</v>
      </c>
      <c r="G6" s="4">
        <f t="shared" si="4"/>
        <v>75.196850393700785</v>
      </c>
      <c r="H6">
        <f t="shared" si="5"/>
        <v>6</v>
      </c>
      <c r="I6">
        <f t="shared" si="6"/>
        <v>3.2</v>
      </c>
      <c r="J6" t="str">
        <f t="shared" si="7"/>
        <v>6' 3.2"</v>
      </c>
      <c r="K6">
        <f t="shared" si="8"/>
        <v>401</v>
      </c>
      <c r="L6" s="14">
        <f t="shared" si="11"/>
        <v>4</v>
      </c>
      <c r="M6" s="8" t="e">
        <f ca="1"/>
        <v>#NAME?</v>
      </c>
      <c r="O6" t="s">
        <v>54</v>
      </c>
      <c r="P6" s="6">
        <v>6</v>
      </c>
      <c r="W6" s="10" t="e">
        <f t="array" aca="1" ref="W6" ca="1">SUM(ABS(TRANSPOSE($D6:$F6)-P$3:P$5)^$P$9)</f>
        <v>#DIV/0!</v>
      </c>
      <c r="X6" s="10" t="e">
        <f t="array" aca="1" ref="X6" ca="1">SUM(ABS(TRANSPOSE($D6:$F6)-Q$3:Q$5)^$P$9)</f>
        <v>#DIV/0!</v>
      </c>
      <c r="Y6" s="10" t="e">
        <f t="array" aca="1" ref="Y6" ca="1">SUM(ABS(TRANSPOSE($D6:$F6)-R$3:R$5)^$P$9)</f>
        <v>#DIV/0!</v>
      </c>
      <c r="Z6" s="10" t="e">
        <f t="array" aca="1" ref="Z6" ca="1">SUM(ABS(TRANSPOSE($D6:$F6)-S$3:S$5)^$P$9)</f>
        <v>#DIV/0!</v>
      </c>
      <c r="AA6" s="10" t="e">
        <f t="array" aca="1" ref="AA6" ca="1">SUM(ABS(TRANSPOSE($D6:$F6)-T$3:T$5)^$P$9)</f>
        <v>#DIV/0!</v>
      </c>
      <c r="AB6" s="7" t="e">
        <f t="array" aca="1" ref="AB6" ca="1">SUM(ABS(TRANSPOSE($D6:$F6)-U$3:U$5)^$P$9)</f>
        <v>#DIV/0!</v>
      </c>
      <c r="AC6" s="7" t="e">
        <f t="shared" ca="1" si="10"/>
        <v>#DIV/0!</v>
      </c>
    </row>
    <row r="7" spans="1:33">
      <c r="A7" s="1" t="s">
        <v>89</v>
      </c>
      <c r="B7" s="1"/>
      <c r="C7" s="1" t="s">
        <v>22</v>
      </c>
      <c r="D7" s="2">
        <v>190</v>
      </c>
      <c r="E7" s="2">
        <v>206</v>
      </c>
      <c r="F7" s="5">
        <f t="shared" si="3"/>
        <v>57.063711911357338</v>
      </c>
      <c r="G7" s="4">
        <f t="shared" si="4"/>
        <v>74.803149606299215</v>
      </c>
      <c r="H7">
        <f t="shared" si="5"/>
        <v>6</v>
      </c>
      <c r="I7">
        <f t="shared" si="6"/>
        <v>2.8</v>
      </c>
      <c r="J7" t="str">
        <f t="shared" si="7"/>
        <v>6' 2.8"</v>
      </c>
      <c r="K7">
        <f t="shared" si="8"/>
        <v>454</v>
      </c>
      <c r="L7">
        <f t="shared" si="11"/>
        <v>5</v>
      </c>
      <c r="M7" s="8" t="e">
        <f ca="1"/>
        <v>#NAME?</v>
      </c>
      <c r="O7" t="s">
        <v>54</v>
      </c>
      <c r="P7" s="6">
        <v>6</v>
      </c>
      <c r="W7" s="10" t="e">
        <f t="array" aca="1" ref="W7" ca="1">SUM(ABS(TRANSPOSE($D7:$F7)-P$3:P$5)^$P$9)</f>
        <v>#DIV/0!</v>
      </c>
      <c r="X7" s="10" t="e">
        <f t="array" aca="1" ref="X7" ca="1">SUM(ABS(TRANSPOSE($D7:$F7)-Q$3:Q$5)^$P$9)</f>
        <v>#DIV/0!</v>
      </c>
      <c r="Y7" s="10" t="e">
        <f t="array" aca="1" ref="Y7" ca="1">SUM(ABS(TRANSPOSE($D7:$F7)-R$3:R$5)^$P$9)</f>
        <v>#DIV/0!</v>
      </c>
      <c r="Z7" s="10" t="e">
        <f t="array" aca="1" ref="Z7" ca="1">SUM(ABS(TRANSPOSE($D7:$F7)-S$3:S$5)^$P$9)</f>
        <v>#DIV/0!</v>
      </c>
      <c r="AA7" s="10" t="e">
        <f t="array" aca="1" ref="AA7" ca="1">SUM(ABS(TRANSPOSE($D7:$F7)-T$3:T$5)^$P$9)</f>
        <v>#DIV/0!</v>
      </c>
      <c r="AB7" s="7" t="e">
        <f t="array" aca="1" ref="AB7" ca="1">SUM(ABS(TRANSPOSE($D7:$F7)-U$3:U$5)^$P$9)</f>
        <v>#DIV/0!</v>
      </c>
      <c r="AC7" s="7" t="e">
        <f t="shared" ca="1" si="10"/>
        <v>#DIV/0!</v>
      </c>
    </row>
    <row r="8" spans="1:33">
      <c r="A8" s="1" t="s">
        <v>90</v>
      </c>
      <c r="B8" s="1"/>
      <c r="C8" s="1" t="s">
        <v>23</v>
      </c>
      <c r="D8" s="2">
        <v>190</v>
      </c>
      <c r="E8" s="2">
        <v>158</v>
      </c>
      <c r="F8" s="5">
        <f t="shared" si="3"/>
        <v>43.767313019390578</v>
      </c>
      <c r="G8" s="4">
        <f t="shared" si="4"/>
        <v>74.803149606299215</v>
      </c>
      <c r="H8">
        <f t="shared" si="5"/>
        <v>6</v>
      </c>
      <c r="I8">
        <f t="shared" si="6"/>
        <v>2.8</v>
      </c>
      <c r="J8" t="str">
        <f t="shared" si="7"/>
        <v>6' 2.8"</v>
      </c>
      <c r="K8">
        <f t="shared" si="8"/>
        <v>348</v>
      </c>
      <c r="L8">
        <f t="shared" si="11"/>
        <v>6</v>
      </c>
      <c r="M8" s="8" t="e">
        <f ca="1"/>
        <v>#NAME?</v>
      </c>
      <c r="O8" t="s">
        <v>55</v>
      </c>
      <c r="P8" s="6">
        <v>2</v>
      </c>
      <c r="W8" s="10" t="e">
        <f t="array" aca="1" ref="W8" ca="1">SUM(ABS(TRANSPOSE($D8:$F8)-P$3:P$5)^$P$9)</f>
        <v>#DIV/0!</v>
      </c>
      <c r="X8" s="10" t="e">
        <f t="array" aca="1" ref="X8" ca="1">SUM(ABS(TRANSPOSE($D8:$F8)-Q$3:Q$5)^$P$9)</f>
        <v>#DIV/0!</v>
      </c>
      <c r="Y8" s="10" t="e">
        <f t="array" aca="1" ref="Y8" ca="1">SUM(ABS(TRANSPOSE($D8:$F8)-R$3:R$5)^$P$9)</f>
        <v>#DIV/0!</v>
      </c>
      <c r="Z8" s="10" t="e">
        <f t="array" aca="1" ref="Z8" ca="1">SUM(ABS(TRANSPOSE($D8:$F8)-S$3:S$5)^$P$9)</f>
        <v>#DIV/0!</v>
      </c>
      <c r="AA8" s="10" t="e">
        <f t="array" aca="1" ref="AA8" ca="1">SUM(ABS(TRANSPOSE($D8:$F8)-T$3:T$5)^$P$9)</f>
        <v>#DIV/0!</v>
      </c>
      <c r="AB8" s="7" t="e">
        <f t="array" aca="1" ref="AB8" ca="1">SUM(ABS(TRANSPOSE($D8:$F8)-U$3:U$5)^$P$9)</f>
        <v>#DIV/0!</v>
      </c>
      <c r="AC8" s="7" t="e">
        <f t="shared" ca="1" si="10"/>
        <v>#DIV/0!</v>
      </c>
    </row>
    <row r="9" spans="1:33">
      <c r="A9" s="1" t="s">
        <v>91</v>
      </c>
      <c r="B9" s="1"/>
      <c r="C9" s="1" t="s">
        <v>19</v>
      </c>
      <c r="D9" s="2">
        <v>190</v>
      </c>
      <c r="E9" s="2">
        <v>183</v>
      </c>
      <c r="F9" s="5">
        <f t="shared" si="3"/>
        <v>50.692520775623272</v>
      </c>
      <c r="G9" s="4">
        <f t="shared" si="4"/>
        <v>74.803149606299215</v>
      </c>
      <c r="H9">
        <f t="shared" si="5"/>
        <v>6</v>
      </c>
      <c r="I9">
        <f t="shared" si="6"/>
        <v>2.8</v>
      </c>
      <c r="J9" t="str">
        <f t="shared" si="7"/>
        <v>6' 2.8"</v>
      </c>
      <c r="K9">
        <f t="shared" si="8"/>
        <v>403</v>
      </c>
      <c r="L9">
        <f t="shared" si="11"/>
        <v>7</v>
      </c>
      <c r="M9" s="8" t="e">
        <f ca="1"/>
        <v>#NAME?</v>
      </c>
      <c r="O9" t="s">
        <v>55</v>
      </c>
      <c r="P9" s="6">
        <v>2</v>
      </c>
      <c r="W9" s="10" t="e">
        <f t="array" aca="1" ref="W9" ca="1">SUM(ABS(TRANSPOSE($D9:$F9)-P$3:P$5)^$P$9)</f>
        <v>#DIV/0!</v>
      </c>
      <c r="X9" s="10" t="e">
        <f t="array" aca="1" ref="X9" ca="1">SUM(ABS(TRANSPOSE($D9:$F9)-Q$3:Q$5)^$P$9)</f>
        <v>#DIV/0!</v>
      </c>
      <c r="Y9" s="10" t="e">
        <f t="array" aca="1" ref="Y9" ca="1">SUM(ABS(TRANSPOSE($D9:$F9)-R$3:R$5)^$P$9)</f>
        <v>#DIV/0!</v>
      </c>
      <c r="Z9" s="10" t="e">
        <f t="array" aca="1" ref="Z9" ca="1">SUM(ABS(TRANSPOSE($D9:$F9)-S$3:S$5)^$P$9)</f>
        <v>#DIV/0!</v>
      </c>
      <c r="AA9" s="10" t="e">
        <f t="array" aca="1" ref="AA9" ca="1">SUM(ABS(TRANSPOSE($D9:$F9)-T$3:T$5)^$P$9)</f>
        <v>#DIV/0!</v>
      </c>
      <c r="AB9" s="7" t="e">
        <f t="array" aca="1" ref="AB9" ca="1">SUM(ABS(TRANSPOSE($D9:$F9)-U$3:U$5)^$P$9)</f>
        <v>#DIV/0!</v>
      </c>
      <c r="AC9" s="7" t="e">
        <f t="shared" ca="1" si="10"/>
        <v>#DIV/0!</v>
      </c>
    </row>
    <row r="10" spans="1:33">
      <c r="A10" s="1" t="s">
        <v>92</v>
      </c>
      <c r="B10" s="1">
        <v>1</v>
      </c>
      <c r="C10" s="1" t="s">
        <v>24</v>
      </c>
      <c r="D10" s="2">
        <v>189</v>
      </c>
      <c r="E10" s="2">
        <v>172</v>
      </c>
      <c r="F10" s="5">
        <f t="shared" si="3"/>
        <v>48.150947621847095</v>
      </c>
      <c r="G10" s="4">
        <f t="shared" si="4"/>
        <v>74.409448818897644</v>
      </c>
      <c r="H10">
        <f t="shared" si="5"/>
        <v>6</v>
      </c>
      <c r="I10">
        <f t="shared" si="6"/>
        <v>2.4</v>
      </c>
      <c r="J10" t="str">
        <f t="shared" si="7"/>
        <v>6' 2.4"</v>
      </c>
      <c r="K10">
        <f t="shared" si="8"/>
        <v>379</v>
      </c>
      <c r="L10">
        <f t="shared" si="11"/>
        <v>8</v>
      </c>
      <c r="M10" s="8" t="e">
        <f ca="1"/>
        <v>#NAME?</v>
      </c>
      <c r="O10" t="s">
        <v>56</v>
      </c>
      <c r="P10" s="6">
        <v>40</v>
      </c>
      <c r="W10" s="10" t="e">
        <f t="array" aca="1" ref="W10" ca="1">SUM(ABS(TRANSPOSE($D10:$F10)-P$3:P$5)^$P$9)</f>
        <v>#DIV/0!</v>
      </c>
      <c r="X10" s="10" t="e">
        <f t="array" aca="1" ref="X10" ca="1">SUM(ABS(TRANSPOSE($D10:$F10)-Q$3:Q$5)^$P$9)</f>
        <v>#DIV/0!</v>
      </c>
      <c r="Y10" s="10" t="e">
        <f t="array" aca="1" ref="Y10" ca="1">SUM(ABS(TRANSPOSE($D10:$F10)-R$3:R$5)^$P$9)</f>
        <v>#DIV/0!</v>
      </c>
      <c r="Z10" s="10" t="e">
        <f t="array" aca="1" ref="Z10" ca="1">SUM(ABS(TRANSPOSE($D10:$F10)-S$3:S$5)^$P$9)</f>
        <v>#DIV/0!</v>
      </c>
      <c r="AA10" s="10" t="e">
        <f t="array" aca="1" ref="AA10" ca="1">SUM(ABS(TRANSPOSE($D10:$F10)-T$3:T$5)^$P$9)</f>
        <v>#DIV/0!</v>
      </c>
      <c r="AB10" s="7" t="e">
        <f t="array" aca="1" ref="AB10" ca="1">SUM(ABS(TRANSPOSE($D10:$F10)-U$3:U$5)^$P$9)</f>
        <v>#DIV/0!</v>
      </c>
      <c r="AC10" s="7" t="e">
        <f t="shared" ca="1" si="10"/>
        <v>#DIV/0!</v>
      </c>
    </row>
    <row r="11" spans="1:33">
      <c r="A11" s="1" t="s">
        <v>93</v>
      </c>
      <c r="B11" s="1"/>
      <c r="C11" s="1" t="s">
        <v>25</v>
      </c>
      <c r="D11" s="2">
        <v>188</v>
      </c>
      <c r="E11" s="2">
        <v>154</v>
      </c>
      <c r="F11" s="5">
        <f t="shared" si="3"/>
        <v>43.571751923947488</v>
      </c>
      <c r="G11" s="4">
        <f t="shared" si="4"/>
        <v>74.015748031496059</v>
      </c>
      <c r="H11">
        <f t="shared" si="5"/>
        <v>6</v>
      </c>
      <c r="I11">
        <f t="shared" si="6"/>
        <v>2</v>
      </c>
      <c r="J11" t="str">
        <f t="shared" si="7"/>
        <v>6' 2"</v>
      </c>
      <c r="K11">
        <f t="shared" si="8"/>
        <v>340</v>
      </c>
      <c r="L11">
        <f t="shared" si="11"/>
        <v>9</v>
      </c>
      <c r="M11" s="8" t="e">
        <f ca="1"/>
        <v>#NAME?</v>
      </c>
      <c r="O11" t="s">
        <v>56</v>
      </c>
      <c r="P11" s="6">
        <v>40</v>
      </c>
      <c r="W11" s="10" t="e">
        <f t="array" aca="1" ref="W11" ca="1">SUM(ABS(TRANSPOSE($D11:$F11)-P$3:P$5)^$P$9)</f>
        <v>#DIV/0!</v>
      </c>
      <c r="X11" s="10" t="e">
        <f t="array" aca="1" ref="X11" ca="1">SUM(ABS(TRANSPOSE($D11:$F11)-Q$3:Q$5)^$P$9)</f>
        <v>#DIV/0!</v>
      </c>
      <c r="Y11" s="10" t="e">
        <f t="array" aca="1" ref="Y11" ca="1">SUM(ABS(TRANSPOSE($D11:$F11)-R$3:R$5)^$P$9)</f>
        <v>#DIV/0!</v>
      </c>
      <c r="Z11" s="10" t="e">
        <f t="array" aca="1" ref="Z11" ca="1">SUM(ABS(TRANSPOSE($D11:$F11)-S$3:S$5)^$P$9)</f>
        <v>#DIV/0!</v>
      </c>
      <c r="AA11" s="10" t="e">
        <f t="array" aca="1" ref="AA11" ca="1">SUM(ABS(TRANSPOSE($D11:$F11)-T$3:T$5)^$P$9)</f>
        <v>#DIV/0!</v>
      </c>
      <c r="AB11" s="7" t="e">
        <f t="array" aca="1" ref="AB11" ca="1">SUM(ABS(TRANSPOSE($D11:$F11)-U$3:U$5)^$P$9)</f>
        <v>#DIV/0!</v>
      </c>
      <c r="AC11" s="7" t="e">
        <f t="shared" ca="1" si="10"/>
        <v>#DIV/0!</v>
      </c>
    </row>
    <row r="12" spans="1:33">
      <c r="A12" s="1" t="s">
        <v>94</v>
      </c>
      <c r="B12" s="1"/>
      <c r="C12" s="1" t="s">
        <v>21</v>
      </c>
      <c r="D12" s="2">
        <v>188</v>
      </c>
      <c r="E12" s="2">
        <v>165</v>
      </c>
      <c r="F12" s="5">
        <f t="shared" si="3"/>
        <v>46.684019918515169</v>
      </c>
      <c r="G12" s="4">
        <f t="shared" si="4"/>
        <v>74.015748031496059</v>
      </c>
      <c r="H12">
        <f t="shared" si="5"/>
        <v>6</v>
      </c>
      <c r="I12">
        <f t="shared" si="6"/>
        <v>2</v>
      </c>
      <c r="J12" t="str">
        <f t="shared" si="7"/>
        <v>6' 2"</v>
      </c>
      <c r="K12">
        <f t="shared" si="8"/>
        <v>364</v>
      </c>
      <c r="L12">
        <f t="shared" si="11"/>
        <v>10</v>
      </c>
      <c r="M12" s="8" t="e">
        <f ca="1"/>
        <v>#NAME?</v>
      </c>
      <c r="O12" t="s">
        <v>60</v>
      </c>
      <c r="P12" s="6">
        <v>500</v>
      </c>
      <c r="W12" s="10" t="e">
        <f t="array" aca="1" ref="W12" ca="1">SUM(ABS(TRANSPOSE($D12:$F12)-P$3:P$5)^$P$9)</f>
        <v>#DIV/0!</v>
      </c>
      <c r="X12" s="10" t="e">
        <f t="array" aca="1" ref="X12" ca="1">SUM(ABS(TRANSPOSE($D12:$F12)-Q$3:Q$5)^$P$9)</f>
        <v>#DIV/0!</v>
      </c>
      <c r="Y12" s="10" t="e">
        <f t="array" aca="1" ref="Y12" ca="1">SUM(ABS(TRANSPOSE($D12:$F12)-R$3:R$5)^$P$9)</f>
        <v>#DIV/0!</v>
      </c>
      <c r="Z12" s="10" t="e">
        <f t="array" aca="1" ref="Z12" ca="1">SUM(ABS(TRANSPOSE($D12:$F12)-S$3:S$5)^$P$9)</f>
        <v>#DIV/0!</v>
      </c>
      <c r="AA12" s="10" t="e">
        <f t="array" aca="1" ref="AA12" ca="1">SUM(ABS(TRANSPOSE($D12:$F12)-T$3:T$5)^$P$9)</f>
        <v>#DIV/0!</v>
      </c>
      <c r="AB12" s="7" t="e">
        <f t="array" aca="1" ref="AB12" ca="1">SUM(ABS(TRANSPOSE($D12:$F12)-U$3:U$5)^$P$9)</f>
        <v>#DIV/0!</v>
      </c>
      <c r="AC12" s="7" t="e">
        <f t="shared" ca="1" si="10"/>
        <v>#DIV/0!</v>
      </c>
    </row>
    <row r="13" spans="1:33">
      <c r="A13" s="1" t="s">
        <v>95</v>
      </c>
      <c r="B13" s="1"/>
      <c r="C13" s="1" t="s">
        <v>25</v>
      </c>
      <c r="D13" s="2">
        <v>187</v>
      </c>
      <c r="E13" s="2">
        <v>132</v>
      </c>
      <c r="F13" s="5">
        <f t="shared" si="3"/>
        <v>37.747719408619062</v>
      </c>
      <c r="G13" s="4">
        <f t="shared" si="4"/>
        <v>73.622047244094489</v>
      </c>
      <c r="H13">
        <f t="shared" si="5"/>
        <v>6</v>
      </c>
      <c r="I13">
        <f t="shared" si="6"/>
        <v>1.6</v>
      </c>
      <c r="J13" t="str">
        <f t="shared" si="7"/>
        <v>6' 1.6"</v>
      </c>
      <c r="K13">
        <f t="shared" si="8"/>
        <v>291</v>
      </c>
      <c r="L13">
        <f t="shared" si="11"/>
        <v>11</v>
      </c>
      <c r="M13" s="8" t="e">
        <f ca="1"/>
        <v>#NAME?</v>
      </c>
      <c r="O13" t="s">
        <v>60</v>
      </c>
      <c r="P13" s="6">
        <v>200</v>
      </c>
      <c r="W13" s="10" t="e">
        <f t="array" aca="1" ref="W13" ca="1">SUM(ABS(TRANSPOSE($D13:$F13)-P$3:P$5)^$P$9)</f>
        <v>#DIV/0!</v>
      </c>
      <c r="X13" s="10" t="e">
        <f t="array" aca="1" ref="X13" ca="1">SUM(ABS(TRANSPOSE($D13:$F13)-Q$3:Q$5)^$P$9)</f>
        <v>#DIV/0!</v>
      </c>
      <c r="Y13" s="10" t="e">
        <f t="array" aca="1" ref="Y13" ca="1">SUM(ABS(TRANSPOSE($D13:$F13)-R$3:R$5)^$P$9)</f>
        <v>#DIV/0!</v>
      </c>
      <c r="Z13" s="10" t="e">
        <f t="array" aca="1" ref="Z13" ca="1">SUM(ABS(TRANSPOSE($D13:$F13)-S$3:S$5)^$P$9)</f>
        <v>#DIV/0!</v>
      </c>
      <c r="AA13" s="10" t="e">
        <f t="array" aca="1" ref="AA13" ca="1">SUM(ABS(TRANSPOSE($D13:$F13)-T$3:T$5)^$P$9)</f>
        <v>#DIV/0!</v>
      </c>
      <c r="AB13" s="7" t="e">
        <f t="array" aca="1" ref="AB13" ca="1">SUM(ABS(TRANSPOSE($D13:$F13)-U$3:U$5)^$P$9)</f>
        <v>#DIV/0!</v>
      </c>
      <c r="AC13" s="7" t="e">
        <f t="shared" ca="1" si="10"/>
        <v>#DIV/0!</v>
      </c>
    </row>
    <row r="14" spans="1:33">
      <c r="A14" s="1" t="s">
        <v>96</v>
      </c>
      <c r="B14" s="1"/>
      <c r="C14" s="1" t="s">
        <v>27</v>
      </c>
      <c r="D14" s="2">
        <v>187</v>
      </c>
      <c r="E14" s="2">
        <v>175</v>
      </c>
      <c r="F14" s="5">
        <f t="shared" si="3"/>
        <v>50.044324973548001</v>
      </c>
      <c r="G14" s="4">
        <f t="shared" si="4"/>
        <v>73.622047244094489</v>
      </c>
      <c r="H14">
        <f t="shared" si="5"/>
        <v>6</v>
      </c>
      <c r="I14">
        <f t="shared" si="6"/>
        <v>1.6</v>
      </c>
      <c r="J14" t="str">
        <f t="shared" si="7"/>
        <v>6' 1.6"</v>
      </c>
      <c r="K14">
        <f t="shared" si="8"/>
        <v>386</v>
      </c>
      <c r="L14">
        <f t="shared" si="11"/>
        <v>12</v>
      </c>
      <c r="M14" s="8" t="e">
        <f ca="1"/>
        <v>#NAME?</v>
      </c>
      <c r="O14" t="s">
        <v>61</v>
      </c>
      <c r="P14" s="6" t="e">
        <f ca="1">[1]!CLUST_Converge(D3:E44,M3:M44)</f>
        <v>#NAME?</v>
      </c>
      <c r="W14" s="10" t="e">
        <f t="array" aca="1" ref="W14" ca="1">SUM(ABS(TRANSPOSE($D14:$F14)-P$3:P$5)^$P$9)</f>
        <v>#DIV/0!</v>
      </c>
      <c r="X14" s="10" t="e">
        <f t="array" aca="1" ref="X14" ca="1">SUM(ABS(TRANSPOSE($D14:$F14)-Q$3:Q$5)^$P$9)</f>
        <v>#DIV/0!</v>
      </c>
      <c r="Y14" s="10" t="e">
        <f t="array" aca="1" ref="Y14" ca="1">SUM(ABS(TRANSPOSE($D14:$F14)-R$3:R$5)^$P$9)</f>
        <v>#DIV/0!</v>
      </c>
      <c r="Z14" s="10" t="e">
        <f t="array" aca="1" ref="Z14" ca="1">SUM(ABS(TRANSPOSE($D14:$F14)-S$3:S$5)^$P$9)</f>
        <v>#DIV/0!</v>
      </c>
      <c r="AA14" s="10" t="e">
        <f t="array" aca="1" ref="AA14" ca="1">SUM(ABS(TRANSPOSE($D14:$F14)-T$3:T$5)^$P$9)</f>
        <v>#DIV/0!</v>
      </c>
      <c r="AB14" s="7" t="e">
        <f t="array" aca="1" ref="AB14" ca="1">SUM(ABS(TRANSPOSE($D14:$F14)-U$3:U$5)^$P$9)</f>
        <v>#DIV/0!</v>
      </c>
      <c r="AC14" s="7" t="e">
        <f t="shared" ca="1" si="10"/>
        <v>#DIV/0!</v>
      </c>
    </row>
    <row r="15" spans="1:33">
      <c r="A15" s="1" t="s">
        <v>97</v>
      </c>
      <c r="B15" s="1"/>
      <c r="C15" s="1" t="s">
        <v>28</v>
      </c>
      <c r="D15" s="2">
        <v>187</v>
      </c>
      <c r="E15" s="2">
        <v>155</v>
      </c>
      <c r="F15" s="5">
        <f t="shared" si="3"/>
        <v>44.324973547999662</v>
      </c>
      <c r="G15" s="4">
        <f t="shared" si="4"/>
        <v>73.622047244094489</v>
      </c>
      <c r="H15">
        <f t="shared" si="5"/>
        <v>6</v>
      </c>
      <c r="I15">
        <f t="shared" si="6"/>
        <v>1.6</v>
      </c>
      <c r="J15" t="str">
        <f t="shared" si="7"/>
        <v>6' 1.6"</v>
      </c>
      <c r="K15">
        <f t="shared" si="8"/>
        <v>342</v>
      </c>
      <c r="L15">
        <f t="shared" si="11"/>
        <v>13</v>
      </c>
      <c r="M15" s="8" t="e">
        <f ca="1"/>
        <v>#NAME?</v>
      </c>
      <c r="O15" t="s">
        <v>61</v>
      </c>
      <c r="P15" s="6" t="e">
        <f ca="1">[1]!CLUST_Converge(D3:F44,M3:M44)</f>
        <v>#NAME?</v>
      </c>
      <c r="W15" s="10" t="e">
        <f t="array" aca="1" ref="W15" ca="1">SUM(ABS(TRANSPOSE($D15:$F15)-P$3:P$5)^$P$9)</f>
        <v>#DIV/0!</v>
      </c>
      <c r="X15" s="10" t="e">
        <f t="array" aca="1" ref="X15" ca="1">SUM(ABS(TRANSPOSE($D15:$F15)-Q$3:Q$5)^$P$9)</f>
        <v>#DIV/0!</v>
      </c>
      <c r="Y15" s="10" t="e">
        <f t="array" aca="1" ref="Y15" ca="1">SUM(ABS(TRANSPOSE($D15:$F15)-R$3:R$5)^$P$9)</f>
        <v>#DIV/0!</v>
      </c>
      <c r="Z15" s="10" t="e">
        <f t="array" aca="1" ref="Z15" ca="1">SUM(ABS(TRANSPOSE($D15:$F15)-S$3:S$5)^$P$9)</f>
        <v>#DIV/0!</v>
      </c>
      <c r="AA15" s="10" t="e">
        <f t="array" aca="1" ref="AA15" ca="1">SUM(ABS(TRANSPOSE($D15:$F15)-T$3:T$5)^$P$9)</f>
        <v>#DIV/0!</v>
      </c>
      <c r="AB15" s="7" t="e">
        <f t="array" aca="1" ref="AB15" ca="1">SUM(ABS(TRANSPOSE($D15:$F15)-U$3:U$5)^$P$9)</f>
        <v>#DIV/0!</v>
      </c>
      <c r="AC15" s="7" t="e">
        <f t="shared" ca="1" si="10"/>
        <v>#DIV/0!</v>
      </c>
    </row>
    <row r="16" spans="1:33">
      <c r="A16" s="1" t="s">
        <v>98</v>
      </c>
      <c r="B16" s="1"/>
      <c r="C16" s="1" t="s">
        <v>29</v>
      </c>
      <c r="D16" s="2">
        <v>187</v>
      </c>
      <c r="E16" s="2">
        <v>145</v>
      </c>
      <c r="F16" s="5">
        <f t="shared" si="3"/>
        <v>41.465297835225485</v>
      </c>
      <c r="G16" s="4">
        <f t="shared" si="4"/>
        <v>73.622047244094489</v>
      </c>
      <c r="H16">
        <f t="shared" si="5"/>
        <v>6</v>
      </c>
      <c r="I16">
        <f t="shared" si="6"/>
        <v>1.6</v>
      </c>
      <c r="J16" t="str">
        <f t="shared" si="7"/>
        <v>6' 1.6"</v>
      </c>
      <c r="K16">
        <f t="shared" si="8"/>
        <v>320</v>
      </c>
      <c r="L16">
        <f t="shared" si="11"/>
        <v>14</v>
      </c>
      <c r="M16" s="8" t="e">
        <f ca="1"/>
        <v>#NAME?</v>
      </c>
      <c r="O16" t="s">
        <v>62</v>
      </c>
      <c r="P16" s="6" t="e">
        <f ca="1">SUM(AC3:AC44)</f>
        <v>#DIV/0!</v>
      </c>
      <c r="W16" s="10" t="e">
        <f t="array" aca="1" ref="W16" ca="1">SUM(ABS(TRANSPOSE($D16:$F16)-P$3:P$5)^$P$9)</f>
        <v>#DIV/0!</v>
      </c>
      <c r="X16" s="10" t="e">
        <f t="array" aca="1" ref="X16" ca="1">SUM(ABS(TRANSPOSE($D16:$F16)-Q$3:Q$5)^$P$9)</f>
        <v>#DIV/0!</v>
      </c>
      <c r="Y16" s="10" t="e">
        <f t="array" aca="1" ref="Y16" ca="1">SUM(ABS(TRANSPOSE($D16:$F16)-R$3:R$5)^$P$9)</f>
        <v>#DIV/0!</v>
      </c>
      <c r="Z16" s="10" t="e">
        <f t="array" aca="1" ref="Z16" ca="1">SUM(ABS(TRANSPOSE($D16:$F16)-S$3:S$5)^$P$9)</f>
        <v>#DIV/0!</v>
      </c>
      <c r="AA16" s="10" t="e">
        <f t="array" aca="1" ref="AA16" ca="1">SUM(ABS(TRANSPOSE($D16:$F16)-T$3:T$5)^$P$9)</f>
        <v>#DIV/0!</v>
      </c>
      <c r="AB16" s="7" t="e">
        <f t="array" aca="1" ref="AB16" ca="1">SUM(ABS(TRANSPOSE($D16:$F16)-U$3:U$5)^$P$9)</f>
        <v>#DIV/0!</v>
      </c>
      <c r="AC16" s="7" t="e">
        <f t="shared" ca="1" si="10"/>
        <v>#DIV/0!</v>
      </c>
    </row>
    <row r="17" spans="1:29">
      <c r="A17" s="1" t="s">
        <v>99</v>
      </c>
      <c r="B17" s="1"/>
      <c r="C17" s="1" t="s">
        <v>30</v>
      </c>
      <c r="D17" s="2">
        <v>183</v>
      </c>
      <c r="E17" s="2">
        <v>148</v>
      </c>
      <c r="F17" s="5">
        <f t="shared" si="3"/>
        <v>44.193615814147932</v>
      </c>
      <c r="G17" s="4">
        <f t="shared" si="4"/>
        <v>72.047244094488192</v>
      </c>
      <c r="H17">
        <f t="shared" si="5"/>
        <v>6</v>
      </c>
      <c r="I17">
        <f t="shared" si="6"/>
        <v>0</v>
      </c>
      <c r="J17" t="str">
        <f t="shared" si="7"/>
        <v>6' 0"</v>
      </c>
      <c r="K17">
        <f t="shared" si="8"/>
        <v>326</v>
      </c>
      <c r="L17">
        <f t="shared" si="11"/>
        <v>15</v>
      </c>
      <c r="M17" s="8" t="e">
        <f ca="1"/>
        <v>#NAME?</v>
      </c>
      <c r="O17" t="s">
        <v>62</v>
      </c>
      <c r="P17" s="6" t="e">
        <f ca="1">SUM(AC3:AC44)</f>
        <v>#DIV/0!</v>
      </c>
      <c r="W17" s="10" t="e">
        <f t="array" aca="1" ref="W17" ca="1">SUM(ABS(TRANSPOSE($D17:$F17)-P$3:P$5)^$P$9)</f>
        <v>#DIV/0!</v>
      </c>
      <c r="X17" s="10" t="e">
        <f t="array" aca="1" ref="X17" ca="1">SUM(ABS(TRANSPOSE($D17:$F17)-Q$3:Q$5)^$P$9)</f>
        <v>#DIV/0!</v>
      </c>
      <c r="Y17" s="10" t="e">
        <f t="array" aca="1" ref="Y17" ca="1">SUM(ABS(TRANSPOSE($D17:$F17)-R$3:R$5)^$P$9)</f>
        <v>#DIV/0!</v>
      </c>
      <c r="Z17" s="10" t="e">
        <f t="array" aca="1" ref="Z17" ca="1">SUM(ABS(TRANSPOSE($D17:$F17)-S$3:S$5)^$P$9)</f>
        <v>#DIV/0!</v>
      </c>
      <c r="AA17" s="10" t="e">
        <f t="array" aca="1" ref="AA17" ca="1">SUM(ABS(TRANSPOSE($D17:$F17)-T$3:T$5)^$P$9)</f>
        <v>#DIV/0!</v>
      </c>
      <c r="AB17" s="7" t="e">
        <f t="array" aca="1" ref="AB17" ca="1">SUM(ABS(TRANSPOSE($D17:$F17)-U$3:U$5)^$P$9)</f>
        <v>#DIV/0!</v>
      </c>
      <c r="AC17" s="7" t="e">
        <f t="shared" ca="1" si="10"/>
        <v>#DIV/0!</v>
      </c>
    </row>
    <row r="18" spans="1:29">
      <c r="A18" s="1" t="s">
        <v>100</v>
      </c>
      <c r="B18" s="1"/>
      <c r="C18" s="1" t="s">
        <v>17</v>
      </c>
      <c r="D18" s="2">
        <v>186</v>
      </c>
      <c r="E18" s="2">
        <v>138</v>
      </c>
      <c r="F18" s="5">
        <f t="shared" si="3"/>
        <v>39.889004509191814</v>
      </c>
      <c r="G18" s="4">
        <f t="shared" si="4"/>
        <v>73.228346456692918</v>
      </c>
      <c r="H18">
        <f t="shared" si="5"/>
        <v>6</v>
      </c>
      <c r="I18">
        <f t="shared" si="6"/>
        <v>1.2</v>
      </c>
      <c r="J18" t="str">
        <f t="shared" si="7"/>
        <v>6' 1.2"</v>
      </c>
      <c r="K18">
        <f t="shared" si="8"/>
        <v>304</v>
      </c>
      <c r="L18">
        <f t="shared" si="11"/>
        <v>16</v>
      </c>
      <c r="M18" s="8" t="e">
        <f ca="1"/>
        <v>#NAME?</v>
      </c>
      <c r="W18" s="10" t="e">
        <f t="array" aca="1" ref="W18" ca="1">SUM(ABS(TRANSPOSE($D18:$F18)-P$3:P$5)^$P$9)</f>
        <v>#DIV/0!</v>
      </c>
      <c r="X18" s="10" t="e">
        <f t="array" aca="1" ref="X18" ca="1">SUM(ABS(TRANSPOSE($D18:$F18)-Q$3:Q$5)^$P$9)</f>
        <v>#DIV/0!</v>
      </c>
      <c r="Y18" s="10" t="e">
        <f t="array" aca="1" ref="Y18" ca="1">SUM(ABS(TRANSPOSE($D18:$F18)-R$3:R$5)^$P$9)</f>
        <v>#DIV/0!</v>
      </c>
      <c r="Z18" s="10" t="e">
        <f t="array" aca="1" ref="Z18" ca="1">SUM(ABS(TRANSPOSE($D18:$F18)-S$3:S$5)^$P$9)</f>
        <v>#DIV/0!</v>
      </c>
      <c r="AA18" s="10" t="e">
        <f t="array" aca="1" ref="AA18" ca="1">SUM(ABS(TRANSPOSE($D18:$F18)-T$3:T$5)^$P$9)</f>
        <v>#DIV/0!</v>
      </c>
      <c r="AB18" s="7" t="e">
        <f t="array" aca="1" ref="AB18" ca="1">SUM(ABS(TRANSPOSE($D18:$F18)-U$3:U$5)^$P$9)</f>
        <v>#DIV/0!</v>
      </c>
      <c r="AC18" s="7" t="e">
        <f t="shared" ca="1" si="10"/>
        <v>#DIV/0!</v>
      </c>
    </row>
    <row r="19" spans="1:29">
      <c r="A19" s="1" t="s">
        <v>101</v>
      </c>
      <c r="B19" s="1"/>
      <c r="C19" s="1" t="s">
        <v>31</v>
      </c>
      <c r="D19" s="2">
        <v>185</v>
      </c>
      <c r="E19" s="2">
        <v>164</v>
      </c>
      <c r="F19" s="5">
        <f t="shared" si="3"/>
        <v>47.918188458728999</v>
      </c>
      <c r="G19" s="4">
        <f t="shared" si="4"/>
        <v>72.834645669291348</v>
      </c>
      <c r="H19">
        <f t="shared" si="5"/>
        <v>6</v>
      </c>
      <c r="I19">
        <f t="shared" si="6"/>
        <v>0.8</v>
      </c>
      <c r="J19" t="str">
        <f t="shared" si="7"/>
        <v>6' 0.8"</v>
      </c>
      <c r="K19">
        <f t="shared" si="8"/>
        <v>362</v>
      </c>
      <c r="L19">
        <f t="shared" si="11"/>
        <v>17</v>
      </c>
      <c r="M19" s="8" t="e">
        <f ca="1"/>
        <v>#NAME?</v>
      </c>
      <c r="W19" s="10" t="e">
        <f t="array" aca="1" ref="W19" ca="1">SUM(ABS(TRANSPOSE($D19:$F19)-P$3:P$5)^$P$9)</f>
        <v>#DIV/0!</v>
      </c>
      <c r="X19" s="10" t="e">
        <f t="array" aca="1" ref="X19" ca="1">SUM(ABS(TRANSPOSE($D19:$F19)-Q$3:Q$5)^$P$9)</f>
        <v>#DIV/0!</v>
      </c>
      <c r="Y19" s="10" t="e">
        <f t="array" aca="1" ref="Y19" ca="1">SUM(ABS(TRANSPOSE($D19:$F19)-R$3:R$5)^$P$9)</f>
        <v>#DIV/0!</v>
      </c>
      <c r="Z19" s="10" t="e">
        <f t="array" aca="1" ref="Z19" ca="1">SUM(ABS(TRANSPOSE($D19:$F19)-S$3:S$5)^$P$9)</f>
        <v>#DIV/0!</v>
      </c>
      <c r="AA19" s="10" t="e">
        <f t="array" aca="1" ref="AA19" ca="1">SUM(ABS(TRANSPOSE($D19:$F19)-T$3:T$5)^$P$9)</f>
        <v>#DIV/0!</v>
      </c>
      <c r="AB19" s="7" t="e">
        <f t="array" aca="1" ref="AB19" ca="1">SUM(ABS(TRANSPOSE($D19:$F19)-U$3:U$5)^$P$9)</f>
        <v>#DIV/0!</v>
      </c>
      <c r="AC19" s="7" t="e">
        <f t="shared" ca="1" si="10"/>
        <v>#DIV/0!</v>
      </c>
    </row>
    <row r="20" spans="1:29">
      <c r="A20" s="1" t="s">
        <v>102</v>
      </c>
      <c r="B20" s="1"/>
      <c r="C20" s="1" t="s">
        <v>32</v>
      </c>
      <c r="D20" s="2">
        <v>185</v>
      </c>
      <c r="E20" s="2">
        <v>140</v>
      </c>
      <c r="F20" s="5">
        <f t="shared" si="3"/>
        <v>40.905770635500367</v>
      </c>
      <c r="G20" s="4">
        <f t="shared" si="4"/>
        <v>72.834645669291348</v>
      </c>
      <c r="H20">
        <f t="shared" si="5"/>
        <v>6</v>
      </c>
      <c r="I20">
        <f t="shared" si="6"/>
        <v>0.8</v>
      </c>
      <c r="J20" t="str">
        <f t="shared" si="7"/>
        <v>6' 0.8"</v>
      </c>
      <c r="K20">
        <f t="shared" si="8"/>
        <v>309</v>
      </c>
      <c r="L20">
        <f t="shared" si="11"/>
        <v>18</v>
      </c>
      <c r="M20" s="8" t="e">
        <f ca="1"/>
        <v>#NAME?</v>
      </c>
      <c r="W20" s="10" t="e">
        <f t="array" aca="1" ref="W20" ca="1">SUM(ABS(TRANSPOSE($D20:$F20)-P$3:P$5)^$P$9)</f>
        <v>#DIV/0!</v>
      </c>
      <c r="X20" s="10" t="e">
        <f t="array" aca="1" ref="X20" ca="1">SUM(ABS(TRANSPOSE($D20:$F20)-Q$3:Q$5)^$P$9)</f>
        <v>#DIV/0!</v>
      </c>
      <c r="Y20" s="10" t="e">
        <f t="array" aca="1" ref="Y20" ca="1">SUM(ABS(TRANSPOSE($D20:$F20)-R$3:R$5)^$P$9)</f>
        <v>#DIV/0!</v>
      </c>
      <c r="Z20" s="10" t="e">
        <f t="array" aca="1" ref="Z20" ca="1">SUM(ABS(TRANSPOSE($D20:$F20)-S$3:S$5)^$P$9)</f>
        <v>#DIV/0!</v>
      </c>
      <c r="AA20" s="10" t="e">
        <f t="array" aca="1" ref="AA20" ca="1">SUM(ABS(TRANSPOSE($D20:$F20)-T$3:T$5)^$P$9)</f>
        <v>#DIV/0!</v>
      </c>
      <c r="AB20" s="7" t="e">
        <f t="array" aca="1" ref="AB20" ca="1">SUM(ABS(TRANSPOSE($D20:$F20)-U$3:U$5)^$P$9)</f>
        <v>#DIV/0!</v>
      </c>
      <c r="AC20" s="7" t="e">
        <f t="shared" ca="1" si="10"/>
        <v>#DIV/0!</v>
      </c>
    </row>
    <row r="21" spans="1:29">
      <c r="A21" s="1" t="s">
        <v>103</v>
      </c>
      <c r="B21" s="1"/>
      <c r="C21" s="1" t="s">
        <v>33</v>
      </c>
      <c r="D21" s="2">
        <v>185</v>
      </c>
      <c r="E21" s="2">
        <v>168</v>
      </c>
      <c r="F21" s="5">
        <f t="shared" si="3"/>
        <v>49.086924762600439</v>
      </c>
      <c r="G21" s="4">
        <f t="shared" si="4"/>
        <v>72.834645669291348</v>
      </c>
      <c r="H21">
        <f t="shared" si="5"/>
        <v>6</v>
      </c>
      <c r="I21">
        <f t="shared" si="6"/>
        <v>0.8</v>
      </c>
      <c r="J21" t="str">
        <f t="shared" si="7"/>
        <v>6' 0.8"</v>
      </c>
      <c r="K21">
        <f t="shared" si="8"/>
        <v>370</v>
      </c>
      <c r="L21">
        <f t="shared" si="11"/>
        <v>19</v>
      </c>
      <c r="M21" s="8" t="e">
        <f ca="1"/>
        <v>#NAME?</v>
      </c>
      <c r="W21" s="10" t="e">
        <f t="array" aca="1" ref="W21" ca="1">SUM(ABS(TRANSPOSE($D21:$F21)-P$3:P$5)^$P$9)</f>
        <v>#DIV/0!</v>
      </c>
      <c r="X21" s="10" t="e">
        <f t="array" aca="1" ref="X21" ca="1">SUM(ABS(TRANSPOSE($D21:$F21)-Q$3:Q$5)^$P$9)</f>
        <v>#DIV/0!</v>
      </c>
      <c r="Y21" s="10" t="e">
        <f t="array" aca="1" ref="Y21" ca="1">SUM(ABS(TRANSPOSE($D21:$F21)-R$3:R$5)^$P$9)</f>
        <v>#DIV/0!</v>
      </c>
      <c r="Z21" s="10" t="e">
        <f t="array" aca="1" ref="Z21" ca="1">SUM(ABS(TRANSPOSE($D21:$F21)-S$3:S$5)^$P$9)</f>
        <v>#DIV/0!</v>
      </c>
      <c r="AA21" s="10" t="e">
        <f t="array" aca="1" ref="AA21" ca="1">SUM(ABS(TRANSPOSE($D21:$F21)-T$3:T$5)^$P$9)</f>
        <v>#DIV/0!</v>
      </c>
      <c r="AB21" s="7" t="e">
        <f t="array" aca="1" ref="AB21" ca="1">SUM(ABS(TRANSPOSE($D21:$F21)-U$3:U$5)^$P$9)</f>
        <v>#DIV/0!</v>
      </c>
      <c r="AC21" s="7" t="e">
        <f t="shared" ca="1" si="10"/>
        <v>#DIV/0!</v>
      </c>
    </row>
    <row r="22" spans="1:29">
      <c r="A22" s="1" t="s">
        <v>104</v>
      </c>
      <c r="B22" s="1"/>
      <c r="C22" s="1" t="s">
        <v>34</v>
      </c>
      <c r="D22" s="2">
        <v>185</v>
      </c>
      <c r="E22" s="2">
        <v>168</v>
      </c>
      <c r="F22" s="5">
        <f t="shared" si="3"/>
        <v>49.086924762600439</v>
      </c>
      <c r="G22" s="4">
        <f t="shared" si="4"/>
        <v>72.834645669291348</v>
      </c>
      <c r="H22">
        <f t="shared" si="5"/>
        <v>6</v>
      </c>
      <c r="I22">
        <f t="shared" si="6"/>
        <v>0.8</v>
      </c>
      <c r="J22" t="str">
        <f t="shared" si="7"/>
        <v>6' 0.8"</v>
      </c>
      <c r="K22">
        <f t="shared" si="8"/>
        <v>370</v>
      </c>
      <c r="L22">
        <f t="shared" si="11"/>
        <v>20</v>
      </c>
      <c r="M22" s="8" t="e">
        <f ca="1"/>
        <v>#NAME?</v>
      </c>
      <c r="W22" s="10" t="e">
        <f t="array" aca="1" ref="W22" ca="1">SUM(ABS(TRANSPOSE($D22:$F22)-P$3:P$5)^$P$9)</f>
        <v>#DIV/0!</v>
      </c>
      <c r="X22" s="10" t="e">
        <f t="array" aca="1" ref="X22" ca="1">SUM(ABS(TRANSPOSE($D22:$F22)-Q$3:Q$5)^$P$9)</f>
        <v>#DIV/0!</v>
      </c>
      <c r="Y22" s="10" t="e">
        <f t="array" aca="1" ref="Y22" ca="1">SUM(ABS(TRANSPOSE($D22:$F22)-R$3:R$5)^$P$9)</f>
        <v>#DIV/0!</v>
      </c>
      <c r="Z22" s="10" t="e">
        <f t="array" aca="1" ref="Z22" ca="1">SUM(ABS(TRANSPOSE($D22:$F22)-S$3:S$5)^$P$9)</f>
        <v>#DIV/0!</v>
      </c>
      <c r="AA22" s="10" t="e">
        <f t="array" aca="1" ref="AA22" ca="1">SUM(ABS(TRANSPOSE($D22:$F22)-T$3:T$5)^$P$9)</f>
        <v>#DIV/0!</v>
      </c>
      <c r="AB22" s="7" t="e">
        <f t="array" aca="1" ref="AB22" ca="1">SUM(ABS(TRANSPOSE($D22:$F22)-U$3:U$5)^$P$9)</f>
        <v>#DIV/0!</v>
      </c>
      <c r="AC22" s="7" t="e">
        <f t="shared" ca="1" si="10"/>
        <v>#DIV/0!</v>
      </c>
    </row>
    <row r="23" spans="1:29">
      <c r="A23" s="1" t="s">
        <v>105</v>
      </c>
      <c r="B23" s="1"/>
      <c r="C23" s="1" t="s">
        <v>35</v>
      </c>
      <c r="D23" s="2">
        <v>185</v>
      </c>
      <c r="E23" s="2">
        <v>168</v>
      </c>
      <c r="F23" s="5">
        <f t="shared" si="3"/>
        <v>49.086924762600439</v>
      </c>
      <c r="G23" s="4">
        <f t="shared" si="4"/>
        <v>72.834645669291348</v>
      </c>
      <c r="H23">
        <f t="shared" si="5"/>
        <v>6</v>
      </c>
      <c r="I23">
        <f t="shared" si="6"/>
        <v>0.8</v>
      </c>
      <c r="J23" t="str">
        <f t="shared" si="7"/>
        <v>6' 0.8"</v>
      </c>
      <c r="K23">
        <f t="shared" si="8"/>
        <v>370</v>
      </c>
      <c r="L23">
        <f t="shared" si="11"/>
        <v>21</v>
      </c>
      <c r="M23" s="8" t="e">
        <f ca="1"/>
        <v>#NAME?</v>
      </c>
      <c r="W23" s="10" t="e">
        <f t="array" aca="1" ref="W23" ca="1">SUM(ABS(TRANSPOSE($D23:$F23)-P$3:P$5)^$P$9)</f>
        <v>#DIV/0!</v>
      </c>
      <c r="X23" s="10" t="e">
        <f t="array" aca="1" ref="X23" ca="1">SUM(ABS(TRANSPOSE($D23:$F23)-Q$3:Q$5)^$P$9)</f>
        <v>#DIV/0!</v>
      </c>
      <c r="Y23" s="10" t="e">
        <f t="array" aca="1" ref="Y23" ca="1">SUM(ABS(TRANSPOSE($D23:$F23)-R$3:R$5)^$P$9)</f>
        <v>#DIV/0!</v>
      </c>
      <c r="Z23" s="10" t="e">
        <f t="array" aca="1" ref="Z23" ca="1">SUM(ABS(TRANSPOSE($D23:$F23)-S$3:S$5)^$P$9)</f>
        <v>#DIV/0!</v>
      </c>
      <c r="AA23" s="10" t="e">
        <f t="array" aca="1" ref="AA23" ca="1">SUM(ABS(TRANSPOSE($D23:$F23)-T$3:T$5)^$P$9)</f>
        <v>#DIV/0!</v>
      </c>
      <c r="AB23" s="7" t="e">
        <f t="array" aca="1" ref="AB23" ca="1">SUM(ABS(TRANSPOSE($D23:$F23)-U$3:U$5)^$P$9)</f>
        <v>#DIV/0!</v>
      </c>
      <c r="AC23" s="7" t="e">
        <f t="shared" ca="1" si="10"/>
        <v>#DIV/0!</v>
      </c>
    </row>
    <row r="24" spans="1:29">
      <c r="A24" s="1" t="s">
        <v>106</v>
      </c>
      <c r="B24" s="1"/>
      <c r="C24" s="1" t="s">
        <v>36</v>
      </c>
      <c r="D24" s="2">
        <v>184</v>
      </c>
      <c r="E24" s="2">
        <v>167</v>
      </c>
      <c r="F24" s="5">
        <f t="shared" si="3"/>
        <v>49.326559546313803</v>
      </c>
      <c r="G24" s="4">
        <f t="shared" si="4"/>
        <v>72.440944881889763</v>
      </c>
      <c r="H24">
        <f t="shared" si="5"/>
        <v>6</v>
      </c>
      <c r="I24">
        <f t="shared" si="6"/>
        <v>0.4</v>
      </c>
      <c r="J24" t="str">
        <f t="shared" si="7"/>
        <v>6' 0.4"</v>
      </c>
      <c r="K24">
        <f t="shared" si="8"/>
        <v>368</v>
      </c>
      <c r="L24">
        <f t="shared" si="11"/>
        <v>22</v>
      </c>
      <c r="M24" s="8" t="e">
        <f ca="1"/>
        <v>#NAME?</v>
      </c>
      <c r="W24" s="10" t="e">
        <f t="array" aca="1" ref="W24" ca="1">SUM(ABS(TRANSPOSE($D24:$F24)-P$3:P$5)^$P$9)</f>
        <v>#DIV/0!</v>
      </c>
      <c r="X24" s="10" t="e">
        <f t="array" aca="1" ref="X24" ca="1">SUM(ABS(TRANSPOSE($D24:$F24)-Q$3:Q$5)^$P$9)</f>
        <v>#DIV/0!</v>
      </c>
      <c r="Y24" s="10" t="e">
        <f t="array" aca="1" ref="Y24" ca="1">SUM(ABS(TRANSPOSE($D24:$F24)-R$3:R$5)^$P$9)</f>
        <v>#DIV/0!</v>
      </c>
      <c r="Z24" s="10" t="e">
        <f t="array" aca="1" ref="Z24" ca="1">SUM(ABS(TRANSPOSE($D24:$F24)-S$3:S$5)^$P$9)</f>
        <v>#DIV/0!</v>
      </c>
      <c r="AA24" s="10" t="e">
        <f t="array" aca="1" ref="AA24" ca="1">SUM(ABS(TRANSPOSE($D24:$F24)-T$3:T$5)^$P$9)</f>
        <v>#DIV/0!</v>
      </c>
      <c r="AB24" s="7" t="e">
        <f t="array" aca="1" ref="AB24" ca="1">SUM(ABS(TRANSPOSE($D24:$F24)-U$3:U$5)^$P$9)</f>
        <v>#DIV/0!</v>
      </c>
      <c r="AC24" s="7" t="e">
        <f t="shared" ca="1" si="10"/>
        <v>#DIV/0!</v>
      </c>
    </row>
    <row r="25" spans="1:29">
      <c r="A25" s="1" t="s">
        <v>107</v>
      </c>
      <c r="B25" s="1"/>
      <c r="C25" s="1" t="s">
        <v>37</v>
      </c>
      <c r="D25" s="2">
        <v>184</v>
      </c>
      <c r="E25" s="2">
        <v>174</v>
      </c>
      <c r="F25" s="5">
        <f t="shared" si="3"/>
        <v>51.394139886578444</v>
      </c>
      <c r="G25" s="4">
        <f t="shared" si="4"/>
        <v>72.440944881889763</v>
      </c>
      <c r="H25">
        <f t="shared" si="5"/>
        <v>6</v>
      </c>
      <c r="I25">
        <f t="shared" si="6"/>
        <v>0.4</v>
      </c>
      <c r="J25" t="str">
        <f t="shared" si="7"/>
        <v>6' 0.4"</v>
      </c>
      <c r="K25">
        <f t="shared" si="8"/>
        <v>384</v>
      </c>
      <c r="L25">
        <f t="shared" si="11"/>
        <v>23</v>
      </c>
      <c r="M25" s="8" t="e">
        <f ca="1"/>
        <v>#NAME?</v>
      </c>
      <c r="W25" s="10" t="e">
        <f t="array" aca="1" ref="W25" ca="1">SUM(ABS(TRANSPOSE($D25:$F25)-P$3:P$5)^$P$9)</f>
        <v>#DIV/0!</v>
      </c>
      <c r="X25" s="10" t="e">
        <f t="array" aca="1" ref="X25" ca="1">SUM(ABS(TRANSPOSE($D25:$F25)-Q$3:Q$5)^$P$9)</f>
        <v>#DIV/0!</v>
      </c>
      <c r="Y25" s="10" t="e">
        <f t="array" aca="1" ref="Y25" ca="1">SUM(ABS(TRANSPOSE($D25:$F25)-R$3:R$5)^$P$9)</f>
        <v>#DIV/0!</v>
      </c>
      <c r="Z25" s="10" t="e">
        <f t="array" aca="1" ref="Z25" ca="1">SUM(ABS(TRANSPOSE($D25:$F25)-S$3:S$5)^$P$9)</f>
        <v>#DIV/0!</v>
      </c>
      <c r="AA25" s="10" t="e">
        <f t="array" aca="1" ref="AA25" ca="1">SUM(ABS(TRANSPOSE($D25:$F25)-T$3:T$5)^$P$9)</f>
        <v>#DIV/0!</v>
      </c>
      <c r="AB25" s="7" t="e">
        <f t="array" aca="1" ref="AB25" ca="1">SUM(ABS(TRANSPOSE($D25:$F25)-U$3:U$5)^$P$9)</f>
        <v>#DIV/0!</v>
      </c>
      <c r="AC25" s="7" t="e">
        <f t="shared" ca="1" si="10"/>
        <v>#DIV/0!</v>
      </c>
    </row>
    <row r="26" spans="1:29">
      <c r="A26" s="1" t="s">
        <v>108</v>
      </c>
      <c r="B26" s="1"/>
      <c r="C26" s="1" t="s">
        <v>38</v>
      </c>
      <c r="D26" s="2">
        <v>184</v>
      </c>
      <c r="E26" s="2">
        <v>200</v>
      </c>
      <c r="F26" s="5">
        <f t="shared" si="3"/>
        <v>59.073724007561438</v>
      </c>
      <c r="G26" s="4">
        <f t="shared" si="4"/>
        <v>72.440944881889763</v>
      </c>
      <c r="H26">
        <f t="shared" si="5"/>
        <v>6</v>
      </c>
      <c r="I26">
        <f t="shared" si="6"/>
        <v>0.4</v>
      </c>
      <c r="J26" t="str">
        <f t="shared" si="7"/>
        <v>6' 0.4"</v>
      </c>
      <c r="K26">
        <f t="shared" si="8"/>
        <v>441</v>
      </c>
      <c r="L26">
        <f t="shared" si="11"/>
        <v>24</v>
      </c>
      <c r="M26" s="8" t="e">
        <f ca="1"/>
        <v>#NAME?</v>
      </c>
      <c r="W26" s="10" t="e">
        <f t="array" aca="1" ref="W26" ca="1">SUM(ABS(TRANSPOSE($D26:$F26)-P$3:P$5)^$P$9)</f>
        <v>#DIV/0!</v>
      </c>
      <c r="X26" s="10" t="e">
        <f t="array" aca="1" ref="X26" ca="1">SUM(ABS(TRANSPOSE($D26:$F26)-Q$3:Q$5)^$P$9)</f>
        <v>#DIV/0!</v>
      </c>
      <c r="Y26" s="10" t="e">
        <f t="array" aca="1" ref="Y26" ca="1">SUM(ABS(TRANSPOSE($D26:$F26)-R$3:R$5)^$P$9)</f>
        <v>#DIV/0!</v>
      </c>
      <c r="Z26" s="10" t="e">
        <f t="array" aca="1" ref="Z26" ca="1">SUM(ABS(TRANSPOSE($D26:$F26)-S$3:S$5)^$P$9)</f>
        <v>#DIV/0!</v>
      </c>
      <c r="AA26" s="10" t="e">
        <f t="array" aca="1" ref="AA26" ca="1">SUM(ABS(TRANSPOSE($D26:$F26)-T$3:T$5)^$P$9)</f>
        <v>#DIV/0!</v>
      </c>
      <c r="AB26" s="7" t="e">
        <f t="array" aca="1" ref="AB26" ca="1">SUM(ABS(TRANSPOSE($D26:$F26)-U$3:U$5)^$P$9)</f>
        <v>#DIV/0!</v>
      </c>
      <c r="AC26" s="7" t="e">
        <f t="shared" ca="1" si="10"/>
        <v>#DIV/0!</v>
      </c>
    </row>
    <row r="27" spans="1:29">
      <c r="A27" s="1" t="s">
        <v>109</v>
      </c>
      <c r="B27" s="1">
        <v>1</v>
      </c>
      <c r="C27" s="1" t="s">
        <v>39</v>
      </c>
      <c r="D27" s="2">
        <v>183</v>
      </c>
      <c r="E27" s="2">
        <v>167</v>
      </c>
      <c r="F27" s="5">
        <f t="shared" si="3"/>
        <v>49.867120547045296</v>
      </c>
      <c r="G27" s="4">
        <f t="shared" si="4"/>
        <v>72.047244094488192</v>
      </c>
      <c r="H27">
        <f t="shared" si="5"/>
        <v>6</v>
      </c>
      <c r="I27">
        <f t="shared" si="6"/>
        <v>0</v>
      </c>
      <c r="J27" t="str">
        <f t="shared" si="7"/>
        <v>6' 0"</v>
      </c>
      <c r="K27">
        <f t="shared" si="8"/>
        <v>368</v>
      </c>
      <c r="L27">
        <f t="shared" si="11"/>
        <v>25</v>
      </c>
      <c r="M27" s="8" t="e">
        <f ca="1"/>
        <v>#NAME?</v>
      </c>
      <c r="W27" s="10" t="e">
        <f t="array" aca="1" ref="W27" ca="1">SUM(ABS(TRANSPOSE($D27:$F27)-P$3:P$5)^$P$9)</f>
        <v>#DIV/0!</v>
      </c>
      <c r="X27" s="10" t="e">
        <f t="array" aca="1" ref="X27" ca="1">SUM(ABS(TRANSPOSE($D27:$F27)-Q$3:Q$5)^$P$9)</f>
        <v>#DIV/0!</v>
      </c>
      <c r="Y27" s="10" t="e">
        <f t="array" aca="1" ref="Y27" ca="1">SUM(ABS(TRANSPOSE($D27:$F27)-R$3:R$5)^$P$9)</f>
        <v>#DIV/0!</v>
      </c>
      <c r="Z27" s="10" t="e">
        <f t="array" aca="1" ref="Z27" ca="1">SUM(ABS(TRANSPOSE($D27:$F27)-S$3:S$5)^$P$9)</f>
        <v>#DIV/0!</v>
      </c>
      <c r="AA27" s="10" t="e">
        <f t="array" aca="1" ref="AA27" ca="1">SUM(ABS(TRANSPOSE($D27:$F27)-T$3:T$5)^$P$9)</f>
        <v>#DIV/0!</v>
      </c>
      <c r="AB27" s="7" t="e">
        <f t="array" aca="1" ref="AB27" ca="1">SUM(ABS(TRANSPOSE($D27:$F27)-U$3:U$5)^$P$9)</f>
        <v>#DIV/0!</v>
      </c>
      <c r="AC27" s="7" t="e">
        <f t="shared" ca="1" si="10"/>
        <v>#DIV/0!</v>
      </c>
    </row>
    <row r="28" spans="1:29">
      <c r="A28" s="1" t="s">
        <v>110</v>
      </c>
      <c r="B28" s="1"/>
      <c r="C28" s="1" t="s">
        <v>40</v>
      </c>
      <c r="D28" s="2">
        <v>183</v>
      </c>
      <c r="E28" s="2">
        <v>141</v>
      </c>
      <c r="F28" s="5">
        <f t="shared" si="3"/>
        <v>42.103377228343632</v>
      </c>
      <c r="G28" s="4">
        <f t="shared" si="4"/>
        <v>72.047244094488192</v>
      </c>
      <c r="H28">
        <f t="shared" si="5"/>
        <v>6</v>
      </c>
      <c r="I28">
        <f t="shared" si="6"/>
        <v>0</v>
      </c>
      <c r="J28" t="str">
        <f t="shared" si="7"/>
        <v>6' 0"</v>
      </c>
      <c r="K28">
        <f t="shared" si="8"/>
        <v>311</v>
      </c>
      <c r="L28">
        <f t="shared" si="11"/>
        <v>26</v>
      </c>
      <c r="M28" s="8" t="e">
        <f ca="1"/>
        <v>#NAME?</v>
      </c>
      <c r="W28" s="10" t="e">
        <f t="array" aca="1" ref="W28" ca="1">SUM(ABS(TRANSPOSE($D28:$F28)-P$3:P$5)^$P$9)</f>
        <v>#DIV/0!</v>
      </c>
      <c r="X28" s="10" t="e">
        <f t="array" aca="1" ref="X28" ca="1">SUM(ABS(TRANSPOSE($D28:$F28)-Q$3:Q$5)^$P$9)</f>
        <v>#DIV/0!</v>
      </c>
      <c r="Y28" s="10" t="e">
        <f t="array" aca="1" ref="Y28" ca="1">SUM(ABS(TRANSPOSE($D28:$F28)-R$3:R$5)^$P$9)</f>
        <v>#DIV/0!</v>
      </c>
      <c r="Z28" s="10" t="e">
        <f t="array" aca="1" ref="Z28" ca="1">SUM(ABS(TRANSPOSE($D28:$F28)-S$3:S$5)^$P$9)</f>
        <v>#DIV/0!</v>
      </c>
      <c r="AA28" s="10" t="e">
        <f t="array" aca="1" ref="AA28" ca="1">SUM(ABS(TRANSPOSE($D28:$F28)-T$3:T$5)^$P$9)</f>
        <v>#DIV/0!</v>
      </c>
      <c r="AB28" s="7" t="e">
        <f t="array" aca="1" ref="AB28" ca="1">SUM(ABS(TRANSPOSE($D28:$F28)-U$3:U$5)^$P$9)</f>
        <v>#DIV/0!</v>
      </c>
      <c r="AC28" s="7" t="e">
        <f t="shared" ca="1" si="10"/>
        <v>#DIV/0!</v>
      </c>
    </row>
    <row r="29" spans="1:29">
      <c r="A29" s="1" t="s">
        <v>111</v>
      </c>
      <c r="B29" s="1"/>
      <c r="C29" s="1" t="s">
        <v>41</v>
      </c>
      <c r="D29" s="2">
        <v>183</v>
      </c>
      <c r="E29" s="2">
        <v>140</v>
      </c>
      <c r="F29" s="5">
        <f t="shared" si="3"/>
        <v>41.804771716085874</v>
      </c>
      <c r="G29" s="4">
        <f t="shared" si="4"/>
        <v>72.047244094488192</v>
      </c>
      <c r="H29">
        <f t="shared" si="5"/>
        <v>6</v>
      </c>
      <c r="I29">
        <f t="shared" si="6"/>
        <v>0</v>
      </c>
      <c r="J29" t="str">
        <f t="shared" si="7"/>
        <v>6' 0"</v>
      </c>
      <c r="K29">
        <f t="shared" si="8"/>
        <v>309</v>
      </c>
      <c r="L29">
        <f t="shared" si="11"/>
        <v>27</v>
      </c>
      <c r="M29" s="8" t="e">
        <f ca="1"/>
        <v>#NAME?</v>
      </c>
      <c r="W29" s="10" t="e">
        <f t="array" aca="1" ref="W29" ca="1">SUM(ABS(TRANSPOSE($D29:$F29)-P$3:P$5)^$P$9)</f>
        <v>#DIV/0!</v>
      </c>
      <c r="X29" s="10" t="e">
        <f t="array" aca="1" ref="X29" ca="1">SUM(ABS(TRANSPOSE($D29:$F29)-Q$3:Q$5)^$P$9)</f>
        <v>#DIV/0!</v>
      </c>
      <c r="Y29" s="10" t="e">
        <f t="array" aca="1" ref="Y29" ca="1">SUM(ABS(TRANSPOSE($D29:$F29)-R$3:R$5)^$P$9)</f>
        <v>#DIV/0!</v>
      </c>
      <c r="Z29" s="10" t="e">
        <f t="array" aca="1" ref="Z29" ca="1">SUM(ABS(TRANSPOSE($D29:$F29)-S$3:S$5)^$P$9)</f>
        <v>#DIV/0!</v>
      </c>
      <c r="AA29" s="10" t="e">
        <f t="array" aca="1" ref="AA29" ca="1">SUM(ABS(TRANSPOSE($D29:$F29)-T$3:T$5)^$P$9)</f>
        <v>#DIV/0!</v>
      </c>
      <c r="AB29" s="7" t="e">
        <f t="array" aca="1" ref="AB29" ca="1">SUM(ABS(TRANSPOSE($D29:$F29)-U$3:U$5)^$P$9)</f>
        <v>#DIV/0!</v>
      </c>
      <c r="AC29" s="7" t="e">
        <f t="shared" ca="1" si="10"/>
        <v>#DIV/0!</v>
      </c>
    </row>
    <row r="30" spans="1:29">
      <c r="A30" s="1" t="s">
        <v>112</v>
      </c>
      <c r="B30" s="1">
        <v>1</v>
      </c>
      <c r="C30" s="1" t="s">
        <v>42</v>
      </c>
      <c r="D30" s="2">
        <v>182</v>
      </c>
      <c r="E30" s="2">
        <v>162</v>
      </c>
      <c r="F30" s="5">
        <f t="shared" si="3"/>
        <v>48.907136819224732</v>
      </c>
      <c r="G30" s="4">
        <f t="shared" si="4"/>
        <v>71.653543307086608</v>
      </c>
      <c r="H30">
        <f t="shared" si="5"/>
        <v>5</v>
      </c>
      <c r="I30">
        <f t="shared" si="6"/>
        <v>11.7</v>
      </c>
      <c r="J30" t="str">
        <f t="shared" si="7"/>
        <v>5' 11.7"</v>
      </c>
      <c r="K30">
        <f t="shared" si="8"/>
        <v>357</v>
      </c>
      <c r="L30">
        <f t="shared" si="11"/>
        <v>28</v>
      </c>
      <c r="M30" s="8" t="e">
        <f ca="1"/>
        <v>#NAME?</v>
      </c>
      <c r="W30" s="10" t="e">
        <f t="array" aca="1" ref="W30" ca="1">SUM(ABS(TRANSPOSE($D30:$F30)-P$3:P$5)^$P$9)</f>
        <v>#DIV/0!</v>
      </c>
      <c r="X30" s="10" t="e">
        <f t="array" aca="1" ref="X30" ca="1">SUM(ABS(TRANSPOSE($D30:$F30)-Q$3:Q$5)^$P$9)</f>
        <v>#DIV/0!</v>
      </c>
      <c r="Y30" s="10" t="e">
        <f t="array" aca="1" ref="Y30" ca="1">SUM(ABS(TRANSPOSE($D30:$F30)-R$3:R$5)^$P$9)</f>
        <v>#DIV/0!</v>
      </c>
      <c r="Z30" s="10" t="e">
        <f t="array" aca="1" ref="Z30" ca="1">SUM(ABS(TRANSPOSE($D30:$F30)-S$3:S$5)^$P$9)</f>
        <v>#DIV/0!</v>
      </c>
      <c r="AA30" s="10" t="e">
        <f t="array" aca="1" ref="AA30" ca="1">SUM(ABS(TRANSPOSE($D30:$F30)-T$3:T$5)^$P$9)</f>
        <v>#DIV/0!</v>
      </c>
      <c r="AB30" s="7" t="e">
        <f t="array" aca="1" ref="AB30" ca="1">SUM(ABS(TRANSPOSE($D30:$F30)-U$3:U$5)^$P$9)</f>
        <v>#DIV/0!</v>
      </c>
      <c r="AC30" s="7" t="e">
        <f t="shared" ca="1" si="10"/>
        <v>#DIV/0!</v>
      </c>
    </row>
    <row r="31" spans="1:29">
      <c r="A31" s="1" t="s">
        <v>113</v>
      </c>
      <c r="B31" s="1"/>
      <c r="C31" s="1" t="s">
        <v>43</v>
      </c>
      <c r="D31" s="2">
        <v>181</v>
      </c>
      <c r="E31" s="2">
        <v>189</v>
      </c>
      <c r="F31" s="5">
        <f t="shared" si="3"/>
        <v>57.690546686609082</v>
      </c>
      <c r="G31" s="4">
        <f t="shared" si="4"/>
        <v>71.259842519685037</v>
      </c>
      <c r="H31">
        <f t="shared" si="5"/>
        <v>5</v>
      </c>
      <c r="I31">
        <f t="shared" si="6"/>
        <v>11.3</v>
      </c>
      <c r="J31" t="str">
        <f t="shared" si="7"/>
        <v>5' 11.3"</v>
      </c>
      <c r="K31">
        <f t="shared" si="8"/>
        <v>417</v>
      </c>
      <c r="L31">
        <f t="shared" si="11"/>
        <v>29</v>
      </c>
      <c r="M31" s="8" t="e">
        <f ca="1"/>
        <v>#NAME?</v>
      </c>
      <c r="W31" s="10" t="e">
        <f t="array" aca="1" ref="W31" ca="1">SUM(ABS(TRANSPOSE($D31:$F31)-P$3:P$5)^$P$9)</f>
        <v>#DIV/0!</v>
      </c>
      <c r="X31" s="10" t="e">
        <f t="array" aca="1" ref="X31" ca="1">SUM(ABS(TRANSPOSE($D31:$F31)-Q$3:Q$5)^$P$9)</f>
        <v>#DIV/0!</v>
      </c>
      <c r="Y31" s="10" t="e">
        <f t="array" aca="1" ref="Y31" ca="1">SUM(ABS(TRANSPOSE($D31:$F31)-R$3:R$5)^$P$9)</f>
        <v>#DIV/0!</v>
      </c>
      <c r="Z31" s="10" t="e">
        <f t="array" aca="1" ref="Z31" ca="1">SUM(ABS(TRANSPOSE($D31:$F31)-S$3:S$5)^$P$9)</f>
        <v>#DIV/0!</v>
      </c>
      <c r="AA31" s="10" t="e">
        <f t="array" aca="1" ref="AA31" ca="1">SUM(ABS(TRANSPOSE($D31:$F31)-T$3:T$5)^$P$9)</f>
        <v>#DIV/0!</v>
      </c>
      <c r="AB31" s="7" t="e">
        <f t="array" aca="1" ref="AB31" ca="1">SUM(ABS(TRANSPOSE($D31:$F31)-U$3:U$5)^$P$9)</f>
        <v>#DIV/0!</v>
      </c>
      <c r="AC31" s="7" t="e">
        <f t="shared" ca="1" si="10"/>
        <v>#DIV/0!</v>
      </c>
    </row>
    <row r="32" spans="1:29">
      <c r="A32" s="1" t="s">
        <v>114</v>
      </c>
      <c r="B32" s="1"/>
      <c r="C32" s="1" t="s">
        <v>44</v>
      </c>
      <c r="D32" s="2">
        <v>182</v>
      </c>
      <c r="E32" s="2">
        <v>130</v>
      </c>
      <c r="F32" s="5">
        <f t="shared" si="3"/>
        <v>39.246467817896388</v>
      </c>
      <c r="G32" s="4">
        <f t="shared" si="4"/>
        <v>71.653543307086608</v>
      </c>
      <c r="H32">
        <f t="shared" si="5"/>
        <v>5</v>
      </c>
      <c r="I32">
        <f t="shared" si="6"/>
        <v>11.7</v>
      </c>
      <c r="J32" t="str">
        <f t="shared" si="7"/>
        <v>5' 11.7"</v>
      </c>
      <c r="K32">
        <f t="shared" si="8"/>
        <v>287</v>
      </c>
      <c r="L32">
        <f t="shared" si="11"/>
        <v>30</v>
      </c>
      <c r="M32" s="8" t="e">
        <f ca="1"/>
        <v>#NAME?</v>
      </c>
      <c r="W32" s="10" t="e">
        <f t="array" aca="1" ref="W32" ca="1">SUM(ABS(TRANSPOSE($D32:$F32)-P$3:P$5)^$P$9)</f>
        <v>#DIV/0!</v>
      </c>
      <c r="X32" s="10" t="e">
        <f t="array" aca="1" ref="X32" ca="1">SUM(ABS(TRANSPOSE($D32:$F32)-Q$3:Q$5)^$P$9)</f>
        <v>#DIV/0!</v>
      </c>
      <c r="Y32" s="10" t="e">
        <f t="array" aca="1" ref="Y32" ca="1">SUM(ABS(TRANSPOSE($D32:$F32)-R$3:R$5)^$P$9)</f>
        <v>#DIV/0!</v>
      </c>
      <c r="Z32" s="10" t="e">
        <f t="array" aca="1" ref="Z32" ca="1">SUM(ABS(TRANSPOSE($D32:$F32)-S$3:S$5)^$P$9)</f>
        <v>#DIV/0!</v>
      </c>
      <c r="AA32" s="10" t="e">
        <f t="array" aca="1" ref="AA32" ca="1">SUM(ABS(TRANSPOSE($D32:$F32)-T$3:T$5)^$P$9)</f>
        <v>#DIV/0!</v>
      </c>
      <c r="AB32" s="7" t="e">
        <f t="array" aca="1" ref="AB32" ca="1">SUM(ABS(TRANSPOSE($D32:$F32)-U$3:U$5)^$P$9)</f>
        <v>#DIV/0!</v>
      </c>
      <c r="AC32" s="7" t="e">
        <f t="shared" ca="1" si="10"/>
        <v>#DIV/0!</v>
      </c>
    </row>
    <row r="33" spans="1:29">
      <c r="A33" s="1" t="s">
        <v>115</v>
      </c>
      <c r="B33" s="1"/>
      <c r="C33" s="1" t="s">
        <v>45</v>
      </c>
      <c r="D33" s="2">
        <v>181</v>
      </c>
      <c r="E33" s="2">
        <v>146</v>
      </c>
      <c r="F33" s="5">
        <f t="shared" si="3"/>
        <v>44.565184212936117</v>
      </c>
      <c r="G33" s="4">
        <f t="shared" si="4"/>
        <v>71.259842519685037</v>
      </c>
      <c r="H33">
        <f t="shared" si="5"/>
        <v>5</v>
      </c>
      <c r="I33">
        <f t="shared" si="6"/>
        <v>11.3</v>
      </c>
      <c r="J33" t="str">
        <f t="shared" si="7"/>
        <v>5' 11.3"</v>
      </c>
      <c r="K33">
        <f t="shared" si="8"/>
        <v>322</v>
      </c>
      <c r="L33">
        <f t="shared" si="11"/>
        <v>31</v>
      </c>
      <c r="M33" s="8" t="e">
        <f ca="1"/>
        <v>#NAME?</v>
      </c>
      <c r="W33" s="10" t="e">
        <f t="array" aca="1" ref="W33" ca="1">SUM(ABS(TRANSPOSE($D33:$F33)-P$3:P$5)^$P$9)</f>
        <v>#DIV/0!</v>
      </c>
      <c r="X33" s="10" t="e">
        <f t="array" aca="1" ref="X33" ca="1">SUM(ABS(TRANSPOSE($D33:$F33)-Q$3:Q$5)^$P$9)</f>
        <v>#DIV/0!</v>
      </c>
      <c r="Y33" s="10" t="e">
        <f t="array" aca="1" ref="Y33" ca="1">SUM(ABS(TRANSPOSE($D33:$F33)-R$3:R$5)^$P$9)</f>
        <v>#DIV/0!</v>
      </c>
      <c r="Z33" s="10" t="e">
        <f t="array" aca="1" ref="Z33" ca="1">SUM(ABS(TRANSPOSE($D33:$F33)-S$3:S$5)^$P$9)</f>
        <v>#DIV/0!</v>
      </c>
      <c r="AA33" s="10" t="e">
        <f t="array" aca="1" ref="AA33" ca="1">SUM(ABS(TRANSPOSE($D33:$F33)-T$3:T$5)^$P$9)</f>
        <v>#DIV/0!</v>
      </c>
      <c r="AB33" s="7" t="e">
        <f t="array" aca="1" ref="AB33" ca="1">SUM(ABS(TRANSPOSE($D33:$F33)-U$3:U$5)^$P$9)</f>
        <v>#DIV/0!</v>
      </c>
      <c r="AC33" s="7" t="e">
        <f t="shared" ca="1" si="10"/>
        <v>#DIV/0!</v>
      </c>
    </row>
    <row r="34" spans="1:29">
      <c r="A34" s="1" t="s">
        <v>116</v>
      </c>
      <c r="B34" s="1">
        <v>2</v>
      </c>
      <c r="C34" s="1" t="s">
        <v>31</v>
      </c>
      <c r="D34" s="2">
        <v>180</v>
      </c>
      <c r="E34" s="2">
        <v>174</v>
      </c>
      <c r="F34" s="5">
        <f t="shared" si="3"/>
        <v>53.703703703703702</v>
      </c>
      <c r="G34" s="4">
        <f t="shared" si="4"/>
        <v>70.866141732283467</v>
      </c>
      <c r="H34">
        <f t="shared" si="5"/>
        <v>5</v>
      </c>
      <c r="I34">
        <f t="shared" si="6"/>
        <v>10.9</v>
      </c>
      <c r="J34" t="str">
        <f t="shared" si="7"/>
        <v>5' 10.9"</v>
      </c>
      <c r="K34">
        <f t="shared" si="8"/>
        <v>384</v>
      </c>
      <c r="L34">
        <f t="shared" si="11"/>
        <v>32</v>
      </c>
      <c r="M34" s="8" t="e">
        <f ca="1"/>
        <v>#NAME?</v>
      </c>
      <c r="W34" s="10" t="e">
        <f t="array" aca="1" ref="W34" ca="1">SUM(ABS(TRANSPOSE($D34:$F34)-P$3:P$5)^$P$9)</f>
        <v>#DIV/0!</v>
      </c>
      <c r="X34" s="10" t="e">
        <f t="array" aca="1" ref="X34" ca="1">SUM(ABS(TRANSPOSE($D34:$F34)-Q$3:Q$5)^$P$9)</f>
        <v>#DIV/0!</v>
      </c>
      <c r="Y34" s="10" t="e">
        <f t="array" aca="1" ref="Y34" ca="1">SUM(ABS(TRANSPOSE($D34:$F34)-R$3:R$5)^$P$9)</f>
        <v>#DIV/0!</v>
      </c>
      <c r="Z34" s="10" t="e">
        <f t="array" aca="1" ref="Z34" ca="1">SUM(ABS(TRANSPOSE($D34:$F34)-S$3:S$5)^$P$9)</f>
        <v>#DIV/0!</v>
      </c>
      <c r="AA34" s="10" t="e">
        <f t="array" aca="1" ref="AA34" ca="1">SUM(ABS(TRANSPOSE($D34:$F34)-T$3:T$5)^$P$9)</f>
        <v>#DIV/0!</v>
      </c>
      <c r="AB34" s="7" t="e">
        <f t="array" aca="1" ref="AB34" ca="1">SUM(ABS(TRANSPOSE($D34:$F34)-U$3:U$5)^$P$9)</f>
        <v>#DIV/0!</v>
      </c>
      <c r="AC34" s="7" t="e">
        <f t="shared" ca="1" si="10"/>
        <v>#DIV/0!</v>
      </c>
    </row>
    <row r="35" spans="1:29">
      <c r="A35" s="1" t="s">
        <v>117</v>
      </c>
      <c r="B35" s="1"/>
      <c r="C35" s="1" t="s">
        <v>42</v>
      </c>
      <c r="D35" s="2">
        <v>180</v>
      </c>
      <c r="E35" s="2">
        <v>148</v>
      </c>
      <c r="F35" s="5">
        <f t="shared" si="3"/>
        <v>45.67901234567902</v>
      </c>
      <c r="G35" s="4">
        <f t="shared" si="4"/>
        <v>70.866141732283467</v>
      </c>
      <c r="H35">
        <f t="shared" si="5"/>
        <v>5</v>
      </c>
      <c r="I35">
        <f t="shared" si="6"/>
        <v>10.9</v>
      </c>
      <c r="J35" t="str">
        <f t="shared" si="7"/>
        <v>5' 10.9"</v>
      </c>
      <c r="K35">
        <f t="shared" si="8"/>
        <v>326</v>
      </c>
      <c r="L35">
        <f t="shared" si="11"/>
        <v>33</v>
      </c>
      <c r="M35" s="8" t="e">
        <f ca="1"/>
        <v>#NAME?</v>
      </c>
      <c r="W35" s="10" t="e">
        <f t="array" aca="1" ref="W35" ca="1">SUM(ABS(TRANSPOSE($D35:$F35)-P$3:P$5)^$P$9)</f>
        <v>#DIV/0!</v>
      </c>
      <c r="X35" s="10" t="e">
        <f t="array" aca="1" ref="X35" ca="1">SUM(ABS(TRANSPOSE($D35:$F35)-Q$3:Q$5)^$P$9)</f>
        <v>#DIV/0!</v>
      </c>
      <c r="Y35" s="10" t="e">
        <f t="array" aca="1" ref="Y35" ca="1">SUM(ABS(TRANSPOSE($D35:$F35)-R$3:R$5)^$P$9)</f>
        <v>#DIV/0!</v>
      </c>
      <c r="Z35" s="10" t="e">
        <f t="array" aca="1" ref="Z35" ca="1">SUM(ABS(TRANSPOSE($D35:$F35)-S$3:S$5)^$P$9)</f>
        <v>#DIV/0!</v>
      </c>
      <c r="AA35" s="10" t="e">
        <f t="array" aca="1" ref="AA35" ca="1">SUM(ABS(TRANSPOSE($D35:$F35)-T$3:T$5)^$P$9)</f>
        <v>#DIV/0!</v>
      </c>
      <c r="AB35" s="7" t="e">
        <f t="array" aca="1" ref="AB35" ca="1">SUM(ABS(TRANSPOSE($D35:$F35)-U$3:U$5)^$P$9)</f>
        <v>#DIV/0!</v>
      </c>
      <c r="AC35" s="7" t="e">
        <f t="shared" ca="1" si="10"/>
        <v>#DIV/0!</v>
      </c>
    </row>
    <row r="36" spans="1:29">
      <c r="A36" s="1" t="s">
        <v>118</v>
      </c>
      <c r="B36" s="1"/>
      <c r="C36" s="1" t="s">
        <v>46</v>
      </c>
      <c r="D36" s="2">
        <v>179</v>
      </c>
      <c r="E36" s="2">
        <v>152</v>
      </c>
      <c r="F36" s="5">
        <f t="shared" si="3"/>
        <v>47.439218501295215</v>
      </c>
      <c r="G36" s="4">
        <f t="shared" si="4"/>
        <v>70.472440944881896</v>
      </c>
      <c r="H36">
        <f t="shared" si="5"/>
        <v>5</v>
      </c>
      <c r="I36">
        <f t="shared" si="6"/>
        <v>10.5</v>
      </c>
      <c r="J36" t="str">
        <f t="shared" si="7"/>
        <v>5' 10.5"</v>
      </c>
      <c r="K36">
        <f t="shared" si="8"/>
        <v>335</v>
      </c>
      <c r="L36">
        <f t="shared" si="11"/>
        <v>34</v>
      </c>
      <c r="M36" s="8" t="e">
        <f ca="1"/>
        <v>#NAME?</v>
      </c>
      <c r="W36" s="10" t="e">
        <f t="array" aca="1" ref="W36" ca="1">SUM(ABS(TRANSPOSE($D36:$F36)-P$3:P$5)^$P$9)</f>
        <v>#DIV/0!</v>
      </c>
      <c r="X36" s="10" t="e">
        <f t="array" aca="1" ref="X36" ca="1">SUM(ABS(TRANSPOSE($D36:$F36)-Q$3:Q$5)^$P$9)</f>
        <v>#DIV/0!</v>
      </c>
      <c r="Y36" s="10" t="e">
        <f t="array" aca="1" ref="Y36" ca="1">SUM(ABS(TRANSPOSE($D36:$F36)-R$3:R$5)^$P$9)</f>
        <v>#DIV/0!</v>
      </c>
      <c r="Z36" s="10" t="e">
        <f t="array" aca="1" ref="Z36" ca="1">SUM(ABS(TRANSPOSE($D36:$F36)-S$3:S$5)^$P$9)</f>
        <v>#DIV/0!</v>
      </c>
      <c r="AA36" s="10" t="e">
        <f t="array" aca="1" ref="AA36" ca="1">SUM(ABS(TRANSPOSE($D36:$F36)-T$3:T$5)^$P$9)</f>
        <v>#DIV/0!</v>
      </c>
      <c r="AB36" s="7" t="e">
        <f t="array" aca="1" ref="AB36" ca="1">SUM(ABS(TRANSPOSE($D36:$F36)-U$3:U$5)^$P$9)</f>
        <v>#DIV/0!</v>
      </c>
      <c r="AC36" s="7" t="e">
        <f t="shared" ca="1" si="10"/>
        <v>#DIV/0!</v>
      </c>
    </row>
    <row r="37" spans="1:29">
      <c r="A37" s="1" t="s">
        <v>119</v>
      </c>
      <c r="B37" s="1"/>
      <c r="C37" s="1" t="s">
        <v>20</v>
      </c>
      <c r="D37" s="2">
        <v>178</v>
      </c>
      <c r="E37" s="2">
        <v>176</v>
      </c>
      <c r="F37" s="5">
        <f t="shared" si="3"/>
        <v>55.548541850776424</v>
      </c>
      <c r="G37" s="4">
        <f t="shared" si="4"/>
        <v>70.078740157480311</v>
      </c>
      <c r="H37">
        <f t="shared" si="5"/>
        <v>5</v>
      </c>
      <c r="I37">
        <f t="shared" si="6"/>
        <v>10.1</v>
      </c>
      <c r="J37" t="str">
        <f t="shared" si="7"/>
        <v>5' 10.1"</v>
      </c>
      <c r="K37">
        <f t="shared" si="8"/>
        <v>388</v>
      </c>
      <c r="L37">
        <f t="shared" si="11"/>
        <v>35</v>
      </c>
      <c r="M37" s="8" t="e">
        <f ca="1"/>
        <v>#NAME?</v>
      </c>
      <c r="W37" s="10" t="e">
        <f t="array" aca="1" ref="W37" ca="1">SUM(ABS(TRANSPOSE($D37:$F37)-P$3:P$5)^$P$9)</f>
        <v>#DIV/0!</v>
      </c>
      <c r="X37" s="10" t="e">
        <f t="array" aca="1" ref="X37" ca="1">SUM(ABS(TRANSPOSE($D37:$F37)-Q$3:Q$5)^$P$9)</f>
        <v>#DIV/0!</v>
      </c>
      <c r="Y37" s="10" t="e">
        <f t="array" aca="1" ref="Y37" ca="1">SUM(ABS(TRANSPOSE($D37:$F37)-R$3:R$5)^$P$9)</f>
        <v>#DIV/0!</v>
      </c>
      <c r="Z37" s="10" t="e">
        <f t="array" aca="1" ref="Z37" ca="1">SUM(ABS(TRANSPOSE($D37:$F37)-S$3:S$5)^$P$9)</f>
        <v>#DIV/0!</v>
      </c>
      <c r="AA37" s="10" t="e">
        <f t="array" aca="1" ref="AA37" ca="1">SUM(ABS(TRANSPOSE($D37:$F37)-T$3:T$5)^$P$9)</f>
        <v>#DIV/0!</v>
      </c>
      <c r="AB37" s="7" t="e">
        <f t="array" aca="1" ref="AB37" ca="1">SUM(ABS(TRANSPOSE($D37:$F37)-U$3:U$5)^$P$9)</f>
        <v>#DIV/0!</v>
      </c>
      <c r="AC37" s="7" t="e">
        <f t="shared" ca="1" si="10"/>
        <v>#DIV/0!</v>
      </c>
    </row>
    <row r="38" spans="1:29">
      <c r="A38" s="1" t="s">
        <v>120</v>
      </c>
      <c r="B38" s="1"/>
      <c r="C38" s="1" t="s">
        <v>47</v>
      </c>
      <c r="D38" s="2">
        <v>177</v>
      </c>
      <c r="E38" s="2">
        <v>159</v>
      </c>
      <c r="F38" s="5">
        <f t="shared" si="3"/>
        <v>50.751699703150436</v>
      </c>
      <c r="G38" s="4">
        <f t="shared" si="4"/>
        <v>69.685039370078741</v>
      </c>
      <c r="H38">
        <f t="shared" si="5"/>
        <v>5</v>
      </c>
      <c r="I38">
        <f t="shared" si="6"/>
        <v>9.6999999999999993</v>
      </c>
      <c r="J38" t="str">
        <f t="shared" si="7"/>
        <v>5' 9.7"</v>
      </c>
      <c r="K38">
        <f t="shared" si="8"/>
        <v>351</v>
      </c>
      <c r="L38">
        <f t="shared" si="11"/>
        <v>36</v>
      </c>
      <c r="M38" s="8" t="e">
        <f ca="1"/>
        <v>#NAME?</v>
      </c>
      <c r="W38" s="10" t="e">
        <f t="array" aca="1" ref="W38" ca="1">SUM(ABS(TRANSPOSE($D38:$F38)-P$3:P$5)^$P$9)</f>
        <v>#DIV/0!</v>
      </c>
      <c r="X38" s="10" t="e">
        <f t="array" aca="1" ref="X38" ca="1">SUM(ABS(TRANSPOSE($D38:$F38)-Q$3:Q$5)^$P$9)</f>
        <v>#DIV/0!</v>
      </c>
      <c r="Y38" s="10" t="e">
        <f t="array" aca="1" ref="Y38" ca="1">SUM(ABS(TRANSPOSE($D38:$F38)-R$3:R$5)^$P$9)</f>
        <v>#DIV/0!</v>
      </c>
      <c r="Z38" s="10" t="e">
        <f t="array" aca="1" ref="Z38" ca="1">SUM(ABS(TRANSPOSE($D38:$F38)-S$3:S$5)^$P$9)</f>
        <v>#DIV/0!</v>
      </c>
      <c r="AA38" s="10" t="e">
        <f t="array" aca="1" ref="AA38" ca="1">SUM(ABS(TRANSPOSE($D38:$F38)-T$3:T$5)^$P$9)</f>
        <v>#DIV/0!</v>
      </c>
      <c r="AB38" s="7" t="e">
        <f t="array" aca="1" ref="AB38" ca="1">SUM(ABS(TRANSPOSE($D38:$F38)-U$3:U$5)^$P$9)</f>
        <v>#DIV/0!</v>
      </c>
      <c r="AC38" s="7" t="e">
        <f t="shared" ca="1" si="10"/>
        <v>#DIV/0!</v>
      </c>
    </row>
    <row r="39" spans="1:29">
      <c r="A39" s="1" t="s">
        <v>121</v>
      </c>
      <c r="B39" s="1"/>
      <c r="C39" s="1" t="s">
        <v>48</v>
      </c>
      <c r="D39" s="2">
        <v>176</v>
      </c>
      <c r="E39" s="2">
        <v>147</v>
      </c>
      <c r="F39" s="5">
        <f t="shared" si="3"/>
        <v>47.456095041322314</v>
      </c>
      <c r="G39" s="4">
        <f t="shared" si="4"/>
        <v>69.29133858267717</v>
      </c>
      <c r="H39">
        <f t="shared" si="5"/>
        <v>5</v>
      </c>
      <c r="I39">
        <f t="shared" si="6"/>
        <v>9.3000000000000007</v>
      </c>
      <c r="J39" t="str">
        <f t="shared" si="7"/>
        <v>5' 9.3"</v>
      </c>
      <c r="K39">
        <f t="shared" si="8"/>
        <v>324</v>
      </c>
      <c r="L39">
        <f t="shared" si="11"/>
        <v>37</v>
      </c>
      <c r="M39" s="8" t="e">
        <f ca="1"/>
        <v>#NAME?</v>
      </c>
      <c r="W39" s="10" t="e">
        <f t="array" aca="1" ref="W39" ca="1">SUM(ABS(TRANSPOSE($D39:$F39)-P$3:P$5)^$P$9)</f>
        <v>#DIV/0!</v>
      </c>
      <c r="X39" s="10" t="e">
        <f t="array" aca="1" ref="X39" ca="1">SUM(ABS(TRANSPOSE($D39:$F39)-Q$3:Q$5)^$P$9)</f>
        <v>#DIV/0!</v>
      </c>
      <c r="Y39" s="10" t="e">
        <f t="array" aca="1" ref="Y39" ca="1">SUM(ABS(TRANSPOSE($D39:$F39)-R$3:R$5)^$P$9)</f>
        <v>#DIV/0!</v>
      </c>
      <c r="Z39" s="10" t="e">
        <f t="array" aca="1" ref="Z39" ca="1">SUM(ABS(TRANSPOSE($D39:$F39)-S$3:S$5)^$P$9)</f>
        <v>#DIV/0!</v>
      </c>
      <c r="AA39" s="10" t="e">
        <f t="array" aca="1" ref="AA39" ca="1">SUM(ABS(TRANSPOSE($D39:$F39)-T$3:T$5)^$P$9)</f>
        <v>#DIV/0!</v>
      </c>
      <c r="AB39" s="7" t="e">
        <f t="array" aca="1" ref="AB39" ca="1">SUM(ABS(TRANSPOSE($D39:$F39)-U$3:U$5)^$P$9)</f>
        <v>#DIV/0!</v>
      </c>
      <c r="AC39" s="7" t="e">
        <f t="shared" ca="1" si="10"/>
        <v>#DIV/0!</v>
      </c>
    </row>
    <row r="40" spans="1:29">
      <c r="A40" s="1" t="s">
        <v>122</v>
      </c>
      <c r="B40" s="1"/>
      <c r="C40" s="1" t="s">
        <v>18</v>
      </c>
      <c r="D40" s="2">
        <v>176</v>
      </c>
      <c r="E40" s="2">
        <v>134</v>
      </c>
      <c r="F40" s="5">
        <f t="shared" si="3"/>
        <v>43.259297520661157</v>
      </c>
      <c r="G40" s="4">
        <f t="shared" si="4"/>
        <v>69.29133858267717</v>
      </c>
      <c r="H40">
        <f t="shared" si="5"/>
        <v>5</v>
      </c>
      <c r="I40">
        <f t="shared" si="6"/>
        <v>9.3000000000000007</v>
      </c>
      <c r="J40" t="str">
        <f t="shared" si="7"/>
        <v>5' 9.3"</v>
      </c>
      <c r="K40">
        <f t="shared" si="8"/>
        <v>295</v>
      </c>
      <c r="L40">
        <f t="shared" si="11"/>
        <v>38</v>
      </c>
      <c r="M40" s="8" t="e">
        <f ca="1"/>
        <v>#NAME?</v>
      </c>
      <c r="W40" s="10" t="e">
        <f t="array" aca="1" ref="W40" ca="1">SUM(ABS(TRANSPOSE($D40:$F40)-P$3:P$5)^$P$9)</f>
        <v>#DIV/0!</v>
      </c>
      <c r="X40" s="10" t="e">
        <f t="array" aca="1" ref="X40" ca="1">SUM(ABS(TRANSPOSE($D40:$F40)-Q$3:Q$5)^$P$9)</f>
        <v>#DIV/0!</v>
      </c>
      <c r="Y40" s="10" t="e">
        <f t="array" aca="1" ref="Y40" ca="1">SUM(ABS(TRANSPOSE($D40:$F40)-R$3:R$5)^$P$9)</f>
        <v>#DIV/0!</v>
      </c>
      <c r="Z40" s="10" t="e">
        <f t="array" aca="1" ref="Z40" ca="1">SUM(ABS(TRANSPOSE($D40:$F40)-S$3:S$5)^$P$9)</f>
        <v>#DIV/0!</v>
      </c>
      <c r="AA40" s="10" t="e">
        <f t="array" aca="1" ref="AA40" ca="1">SUM(ABS(TRANSPOSE($D40:$F40)-T$3:T$5)^$P$9)</f>
        <v>#DIV/0!</v>
      </c>
      <c r="AB40" s="7" t="e">
        <f t="array" aca="1" ref="AB40" ca="1">SUM(ABS(TRANSPOSE($D40:$F40)-U$3:U$5)^$P$9)</f>
        <v>#DIV/0!</v>
      </c>
      <c r="AC40" s="7" t="e">
        <f t="shared" ca="1" si="10"/>
        <v>#DIV/0!</v>
      </c>
    </row>
    <row r="41" spans="1:29">
      <c r="A41" s="1" t="s">
        <v>123</v>
      </c>
      <c r="B41" s="1">
        <v>2</v>
      </c>
      <c r="C41" s="1" t="s">
        <v>39</v>
      </c>
      <c r="D41" s="2">
        <v>175</v>
      </c>
      <c r="E41" s="2">
        <v>163</v>
      </c>
      <c r="F41" s="5">
        <f t="shared" si="3"/>
        <v>53.224489795918366</v>
      </c>
      <c r="G41" s="4">
        <f t="shared" si="4"/>
        <v>68.897637795275585</v>
      </c>
      <c r="H41">
        <f t="shared" si="5"/>
        <v>5</v>
      </c>
      <c r="I41">
        <f t="shared" si="6"/>
        <v>8.9</v>
      </c>
      <c r="J41" t="str">
        <f t="shared" si="7"/>
        <v>5' 8.9"</v>
      </c>
      <c r="K41">
        <f t="shared" si="8"/>
        <v>359</v>
      </c>
      <c r="L41">
        <f t="shared" si="11"/>
        <v>39</v>
      </c>
      <c r="M41" s="8" t="e">
        <f ca="1"/>
        <v>#NAME?</v>
      </c>
      <c r="W41" s="10" t="e">
        <f t="array" aca="1" ref="W41" ca="1">SUM(ABS(TRANSPOSE($D41:$F41)-P$3:P$5)^$P$9)</f>
        <v>#DIV/0!</v>
      </c>
      <c r="X41" s="10" t="e">
        <f t="array" aca="1" ref="X41" ca="1">SUM(ABS(TRANSPOSE($D41:$F41)-Q$3:Q$5)^$P$9)</f>
        <v>#DIV/0!</v>
      </c>
      <c r="Y41" s="10" t="e">
        <f t="array" aca="1" ref="Y41" ca="1">SUM(ABS(TRANSPOSE($D41:$F41)-R$3:R$5)^$P$9)</f>
        <v>#DIV/0!</v>
      </c>
      <c r="Z41" s="10" t="e">
        <f t="array" aca="1" ref="Z41" ca="1">SUM(ABS(TRANSPOSE($D41:$F41)-S$3:S$5)^$P$9)</f>
        <v>#DIV/0!</v>
      </c>
      <c r="AA41" s="10" t="e">
        <f t="array" aca="1" ref="AA41" ca="1">SUM(ABS(TRANSPOSE($D41:$F41)-T$3:T$5)^$P$9)</f>
        <v>#DIV/0!</v>
      </c>
      <c r="AB41" s="7" t="e">
        <f t="array" aca="1" ref="AB41" ca="1">SUM(ABS(TRANSPOSE($D41:$F41)-U$3:U$5)^$P$9)</f>
        <v>#DIV/0!</v>
      </c>
      <c r="AC41" s="7" t="e">
        <f t="shared" ca="1" si="10"/>
        <v>#DIV/0!</v>
      </c>
    </row>
    <row r="42" spans="1:29">
      <c r="A42" s="1" t="s">
        <v>124</v>
      </c>
      <c r="B42" s="1"/>
      <c r="C42" s="1" t="s">
        <v>49</v>
      </c>
      <c r="D42" s="2">
        <v>175</v>
      </c>
      <c r="E42" s="2">
        <v>134</v>
      </c>
      <c r="F42" s="5">
        <f t="shared" si="3"/>
        <v>43.755102040816325</v>
      </c>
      <c r="G42" s="4">
        <f t="shared" si="4"/>
        <v>68.897637795275585</v>
      </c>
      <c r="H42">
        <f t="shared" si="5"/>
        <v>5</v>
      </c>
      <c r="I42">
        <f t="shared" si="6"/>
        <v>8.9</v>
      </c>
      <c r="J42" t="str">
        <f t="shared" si="7"/>
        <v>5' 8.9"</v>
      </c>
      <c r="K42">
        <f t="shared" si="8"/>
        <v>295</v>
      </c>
      <c r="L42">
        <f t="shared" si="11"/>
        <v>40</v>
      </c>
      <c r="M42" s="8" t="e">
        <f ca="1"/>
        <v>#NAME?</v>
      </c>
      <c r="W42" s="10" t="e">
        <f t="array" aca="1" ref="W42" ca="1">SUM(ABS(TRANSPOSE($D42:$F42)-P$3:P$5)^$P$9)</f>
        <v>#DIV/0!</v>
      </c>
      <c r="X42" s="10" t="e">
        <f t="array" aca="1" ref="X42" ca="1">SUM(ABS(TRANSPOSE($D42:$F42)-Q$3:Q$5)^$P$9)</f>
        <v>#DIV/0!</v>
      </c>
      <c r="Y42" s="10" t="e">
        <f t="array" aca="1" ref="Y42" ca="1">SUM(ABS(TRANSPOSE($D42:$F42)-R$3:R$5)^$P$9)</f>
        <v>#DIV/0!</v>
      </c>
      <c r="Z42" s="10" t="e">
        <f t="array" aca="1" ref="Z42" ca="1">SUM(ABS(TRANSPOSE($D42:$F42)-S$3:S$5)^$P$9)</f>
        <v>#DIV/0!</v>
      </c>
      <c r="AA42" s="10" t="e">
        <f t="array" aca="1" ref="AA42" ca="1">SUM(ABS(TRANSPOSE($D42:$F42)-T$3:T$5)^$P$9)</f>
        <v>#DIV/0!</v>
      </c>
      <c r="AB42" s="7" t="e">
        <f t="array" aca="1" ref="AB42" ca="1">SUM(ABS(TRANSPOSE($D42:$F42)-U$3:U$5)^$P$9)</f>
        <v>#DIV/0!</v>
      </c>
      <c r="AC42" s="7" t="e">
        <f t="shared" ca="1" si="10"/>
        <v>#DIV/0!</v>
      </c>
    </row>
    <row r="43" spans="1:29">
      <c r="A43" s="1" t="s">
        <v>125</v>
      </c>
      <c r="B43" s="1"/>
      <c r="C43" s="1" t="s">
        <v>50</v>
      </c>
      <c r="D43" s="2">
        <v>172</v>
      </c>
      <c r="E43" s="2">
        <v>118</v>
      </c>
      <c r="F43" s="5">
        <f t="shared" si="3"/>
        <v>39.886425094645752</v>
      </c>
      <c r="G43" s="4">
        <f t="shared" si="4"/>
        <v>67.716535433070874</v>
      </c>
      <c r="H43">
        <f t="shared" si="5"/>
        <v>5</v>
      </c>
      <c r="I43">
        <f t="shared" si="6"/>
        <v>7.7</v>
      </c>
      <c r="J43" t="str">
        <f t="shared" si="7"/>
        <v>5' 7.7"</v>
      </c>
      <c r="K43">
        <f t="shared" si="8"/>
        <v>260</v>
      </c>
      <c r="L43">
        <f t="shared" si="11"/>
        <v>41</v>
      </c>
      <c r="M43" s="8" t="e">
        <f ca="1"/>
        <v>#NAME?</v>
      </c>
      <c r="W43" s="10" t="e">
        <f t="array" aca="1" ref="W43" ca="1">SUM(ABS(TRANSPOSE($D43:$F43)-P$3:P$5)^$P$9)</f>
        <v>#DIV/0!</v>
      </c>
      <c r="X43" s="10" t="e">
        <f t="array" aca="1" ref="X43" ca="1">SUM(ABS(TRANSPOSE($D43:$F43)-Q$3:Q$5)^$P$9)</f>
        <v>#DIV/0!</v>
      </c>
      <c r="Y43" s="10" t="e">
        <f t="array" aca="1" ref="Y43" ca="1">SUM(ABS(TRANSPOSE($D43:$F43)-R$3:R$5)^$P$9)</f>
        <v>#DIV/0!</v>
      </c>
      <c r="Z43" s="10" t="e">
        <f t="array" aca="1" ref="Z43" ca="1">SUM(ABS(TRANSPOSE($D43:$F43)-S$3:S$5)^$P$9)</f>
        <v>#DIV/0!</v>
      </c>
      <c r="AA43" s="10" t="e">
        <f t="array" aca="1" ref="AA43" ca="1">SUM(ABS(TRANSPOSE($D43:$F43)-T$3:T$5)^$P$9)</f>
        <v>#DIV/0!</v>
      </c>
      <c r="AB43" s="7" t="e">
        <f t="array" aca="1" ref="AB43" ca="1">SUM(ABS(TRANSPOSE($D43:$F43)-U$3:U$5)^$P$9)</f>
        <v>#DIV/0!</v>
      </c>
      <c r="AC43" s="7" t="e">
        <f t="shared" ca="1" si="10"/>
        <v>#DIV/0!</v>
      </c>
    </row>
    <row r="44" spans="1:29">
      <c r="A44" s="1" t="s">
        <v>126</v>
      </c>
      <c r="B44" s="1"/>
      <c r="C44" s="1" t="s">
        <v>51</v>
      </c>
      <c r="D44" s="2">
        <v>169</v>
      </c>
      <c r="E44" s="2">
        <v>117</v>
      </c>
      <c r="F44" s="5">
        <f t="shared" si="3"/>
        <v>40.964952207555754</v>
      </c>
      <c r="G44" s="4">
        <f t="shared" si="4"/>
        <v>66.535433070866134</v>
      </c>
      <c r="H44">
        <f t="shared" si="5"/>
        <v>5</v>
      </c>
      <c r="I44">
        <f t="shared" si="6"/>
        <v>6.5</v>
      </c>
      <c r="J44" t="str">
        <f t="shared" si="7"/>
        <v>5' 6.5"</v>
      </c>
      <c r="K44">
        <f t="shared" si="8"/>
        <v>258</v>
      </c>
      <c r="L44">
        <f t="shared" si="11"/>
        <v>42</v>
      </c>
      <c r="M44" s="9" t="e">
        <f ca="1"/>
        <v>#NAME?</v>
      </c>
      <c r="W44" s="16" t="e">
        <f t="array" aca="1" ref="W44" ca="1">SUM(ABS(TRANSPOSE($D44:$F44)-P$3:P$5)^$P$9)</f>
        <v>#DIV/0!</v>
      </c>
      <c r="X44" s="16" t="e">
        <f t="array" aca="1" ref="X44" ca="1">SUM(ABS(TRANSPOSE($D44:$F44)-Q$3:Q$5)^$P$9)</f>
        <v>#DIV/0!</v>
      </c>
      <c r="Y44" s="16" t="e">
        <f t="array" aca="1" ref="Y44" ca="1">SUM(ABS(TRANSPOSE($D44:$F44)-R$3:R$5)^$P$9)</f>
        <v>#DIV/0!</v>
      </c>
      <c r="Z44" s="16" t="e">
        <f t="array" aca="1" ref="Z44" ca="1">SUM(ABS(TRANSPOSE($D44:$F44)-S$3:S$5)^$P$9)</f>
        <v>#DIV/0!</v>
      </c>
      <c r="AA44" s="16" t="e">
        <f t="array" aca="1" ref="AA44" ca="1">SUM(ABS(TRANSPOSE($D44:$F44)-T$3:T$5)^$P$9)</f>
        <v>#DIV/0!</v>
      </c>
      <c r="AB44" s="6" t="e">
        <f t="array" aca="1" ref="AB44" ca="1">SUM(ABS(TRANSPOSE($D44:$F44)-U$3:U$5)^$P$9)</f>
        <v>#DIV/0!</v>
      </c>
      <c r="AC44" s="6" t="e">
        <f t="shared" ca="1" si="10"/>
        <v>#DIV/0!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E5FC-5096-4B3F-A120-C0631CA4448F}">
  <sheetPr codeName="Sheet7"/>
  <dimension ref="A2:M44"/>
  <sheetViews>
    <sheetView zoomScale="130" zoomScaleNormal="130" workbookViewId="0">
      <selection sqref="A1:E1048576"/>
    </sheetView>
  </sheetViews>
  <sheetFormatPr defaultRowHeight="14.5"/>
  <cols>
    <col min="1" max="3" width="21.1796875" customWidth="1"/>
    <col min="6" max="6" width="11.26953125" bestFit="1" customWidth="1"/>
    <col min="7" max="7" width="9" style="4"/>
  </cols>
  <sheetData>
    <row r="2" spans="1:13">
      <c r="A2" t="s">
        <v>3</v>
      </c>
      <c r="B2" t="s">
        <v>11</v>
      </c>
      <c r="C2" t="s">
        <v>12</v>
      </c>
      <c r="D2" t="s">
        <v>5</v>
      </c>
      <c r="E2" t="s">
        <v>4</v>
      </c>
      <c r="F2" t="s">
        <v>26</v>
      </c>
      <c r="G2" s="4" t="s">
        <v>6</v>
      </c>
      <c r="H2" t="s">
        <v>7</v>
      </c>
      <c r="I2" t="s">
        <v>8</v>
      </c>
      <c r="J2" t="s">
        <v>9</v>
      </c>
      <c r="K2" t="s">
        <v>10</v>
      </c>
      <c r="M2" s="15" t="s">
        <v>52</v>
      </c>
    </row>
    <row r="3" spans="1:13">
      <c r="A3" s="1" t="s">
        <v>95</v>
      </c>
      <c r="B3" s="1"/>
      <c r="C3" s="1" t="s">
        <v>25</v>
      </c>
      <c r="D3" s="2">
        <v>187</v>
      </c>
      <c r="E3" s="2">
        <v>132</v>
      </c>
      <c r="F3" s="5">
        <v>37.747719408619062</v>
      </c>
      <c r="G3" s="4">
        <v>73.622047244094489</v>
      </c>
      <c r="H3">
        <v>6</v>
      </c>
      <c r="I3">
        <v>1.6</v>
      </c>
      <c r="J3" t="s">
        <v>69</v>
      </c>
      <c r="K3">
        <v>291</v>
      </c>
      <c r="L3">
        <v>11</v>
      </c>
      <c r="M3" s="7">
        <v>1</v>
      </c>
    </row>
    <row r="4" spans="1:13">
      <c r="A4" s="1" t="s">
        <v>100</v>
      </c>
      <c r="B4" s="1"/>
      <c r="C4" s="1" t="s">
        <v>17</v>
      </c>
      <c r="D4" s="2">
        <v>186</v>
      </c>
      <c r="E4" s="2">
        <v>138</v>
      </c>
      <c r="F4" s="5">
        <v>39.889004509191814</v>
      </c>
      <c r="G4" s="4">
        <v>73.228346456692918</v>
      </c>
      <c r="H4">
        <v>6</v>
      </c>
      <c r="I4">
        <v>1.2</v>
      </c>
      <c r="J4" t="s">
        <v>71</v>
      </c>
      <c r="K4">
        <v>304</v>
      </c>
      <c r="L4">
        <v>16</v>
      </c>
      <c r="M4" s="8">
        <v>1</v>
      </c>
    </row>
    <row r="5" spans="1:13">
      <c r="A5" s="1" t="s">
        <v>102</v>
      </c>
      <c r="B5" s="1"/>
      <c r="C5" s="1" t="s">
        <v>32</v>
      </c>
      <c r="D5" s="2">
        <v>185</v>
      </c>
      <c r="E5" s="2">
        <v>140</v>
      </c>
      <c r="F5" s="5">
        <v>40.905770635500367</v>
      </c>
      <c r="G5" s="4">
        <v>72.834645669291348</v>
      </c>
      <c r="H5">
        <v>6</v>
      </c>
      <c r="I5">
        <v>0.8</v>
      </c>
      <c r="J5" t="s">
        <v>72</v>
      </c>
      <c r="K5">
        <v>309</v>
      </c>
      <c r="L5">
        <v>18</v>
      </c>
      <c r="M5" s="8">
        <v>1</v>
      </c>
    </row>
    <row r="6" spans="1:13">
      <c r="A6" s="1" t="s">
        <v>110</v>
      </c>
      <c r="B6" s="1"/>
      <c r="C6" s="1" t="s">
        <v>40</v>
      </c>
      <c r="D6" s="2">
        <v>183</v>
      </c>
      <c r="E6" s="2">
        <v>141</v>
      </c>
      <c r="F6" s="5">
        <v>42.103377228343632</v>
      </c>
      <c r="G6" s="4">
        <v>72.047244094488192</v>
      </c>
      <c r="H6">
        <v>6</v>
      </c>
      <c r="I6">
        <v>0</v>
      </c>
      <c r="J6" t="s">
        <v>70</v>
      </c>
      <c r="K6">
        <v>311</v>
      </c>
      <c r="L6">
        <v>26</v>
      </c>
      <c r="M6" s="8">
        <v>1</v>
      </c>
    </row>
    <row r="7" spans="1:13">
      <c r="A7" s="1" t="s">
        <v>111</v>
      </c>
      <c r="B7" s="1"/>
      <c r="C7" s="1" t="s">
        <v>41</v>
      </c>
      <c r="D7" s="2">
        <v>183</v>
      </c>
      <c r="E7" s="2">
        <v>140</v>
      </c>
      <c r="F7" s="5">
        <v>41.804771716085874</v>
      </c>
      <c r="G7" s="4">
        <v>72.047244094488192</v>
      </c>
      <c r="H7">
        <v>6</v>
      </c>
      <c r="I7">
        <v>0</v>
      </c>
      <c r="J7" t="s">
        <v>70</v>
      </c>
      <c r="K7">
        <v>309</v>
      </c>
      <c r="L7">
        <v>27</v>
      </c>
      <c r="M7" s="8">
        <v>1</v>
      </c>
    </row>
    <row r="8" spans="1:13">
      <c r="A8" s="1" t="s">
        <v>114</v>
      </c>
      <c r="B8" s="1"/>
      <c r="C8" s="1" t="s">
        <v>44</v>
      </c>
      <c r="D8" s="2">
        <v>182</v>
      </c>
      <c r="E8" s="2">
        <v>130</v>
      </c>
      <c r="F8" s="5">
        <v>39.246467817896388</v>
      </c>
      <c r="G8" s="4">
        <v>71.653543307086608</v>
      </c>
      <c r="H8">
        <v>5</v>
      </c>
      <c r="I8">
        <v>11.7</v>
      </c>
      <c r="J8" t="s">
        <v>74</v>
      </c>
      <c r="K8">
        <v>287</v>
      </c>
      <c r="L8">
        <v>30</v>
      </c>
      <c r="M8" s="8">
        <v>1</v>
      </c>
    </row>
    <row r="9" spans="1:13">
      <c r="A9" s="1" t="s">
        <v>122</v>
      </c>
      <c r="B9" s="1"/>
      <c r="C9" s="1" t="s">
        <v>18</v>
      </c>
      <c r="D9" s="2">
        <v>176</v>
      </c>
      <c r="E9" s="2">
        <v>134</v>
      </c>
      <c r="F9" s="5">
        <v>43.259297520661157</v>
      </c>
      <c r="G9" s="4">
        <v>69.29133858267717</v>
      </c>
      <c r="H9">
        <v>5</v>
      </c>
      <c r="I9">
        <v>9.3000000000000007</v>
      </c>
      <c r="J9" t="s">
        <v>80</v>
      </c>
      <c r="K9">
        <v>295</v>
      </c>
      <c r="L9">
        <v>38</v>
      </c>
      <c r="M9" s="8">
        <v>1</v>
      </c>
    </row>
    <row r="10" spans="1:13">
      <c r="A10" s="1" t="s">
        <v>124</v>
      </c>
      <c r="B10" s="1"/>
      <c r="C10" s="1" t="s">
        <v>49</v>
      </c>
      <c r="D10" s="2">
        <v>175</v>
      </c>
      <c r="E10" s="2">
        <v>134</v>
      </c>
      <c r="F10" s="5">
        <v>43.755102040816325</v>
      </c>
      <c r="G10" s="4">
        <v>68.897637795275585</v>
      </c>
      <c r="H10">
        <v>5</v>
      </c>
      <c r="I10">
        <v>8.9</v>
      </c>
      <c r="J10" t="s">
        <v>81</v>
      </c>
      <c r="K10">
        <v>295</v>
      </c>
      <c r="L10">
        <v>40</v>
      </c>
      <c r="M10" s="8">
        <v>1</v>
      </c>
    </row>
    <row r="11" spans="1:13">
      <c r="A11" s="1" t="s">
        <v>125</v>
      </c>
      <c r="B11" s="1"/>
      <c r="C11" s="1" t="s">
        <v>50</v>
      </c>
      <c r="D11" s="2">
        <v>172</v>
      </c>
      <c r="E11" s="2">
        <v>118</v>
      </c>
      <c r="F11" s="5">
        <v>39.886425094645752</v>
      </c>
      <c r="G11" s="4">
        <v>67.716535433070874</v>
      </c>
      <c r="H11">
        <v>5</v>
      </c>
      <c r="I11">
        <v>7.7</v>
      </c>
      <c r="J11" t="s">
        <v>82</v>
      </c>
      <c r="K11">
        <v>260</v>
      </c>
      <c r="L11">
        <v>41</v>
      </c>
      <c r="M11" s="8">
        <v>1</v>
      </c>
    </row>
    <row r="12" spans="1:13">
      <c r="A12" s="1" t="s">
        <v>126</v>
      </c>
      <c r="B12" s="1"/>
      <c r="C12" s="1" t="s">
        <v>51</v>
      </c>
      <c r="D12" s="2">
        <v>169</v>
      </c>
      <c r="E12" s="2">
        <v>117</v>
      </c>
      <c r="F12" s="5">
        <v>40.964952207555754</v>
      </c>
      <c r="G12" s="4">
        <v>66.535433070866134</v>
      </c>
      <c r="H12">
        <v>5</v>
      </c>
      <c r="I12">
        <v>6.5</v>
      </c>
      <c r="J12" t="s">
        <v>83</v>
      </c>
      <c r="K12">
        <v>258</v>
      </c>
      <c r="L12">
        <v>42</v>
      </c>
      <c r="M12" s="8">
        <v>1</v>
      </c>
    </row>
    <row r="13" spans="1:13">
      <c r="A13" s="1" t="s">
        <v>85</v>
      </c>
      <c r="B13" s="1"/>
      <c r="C13" s="1" t="s">
        <v>13</v>
      </c>
      <c r="D13" s="2">
        <v>194</v>
      </c>
      <c r="E13" s="2">
        <v>194</v>
      </c>
      <c r="F13" s="5">
        <v>51.546391752577321</v>
      </c>
      <c r="G13" s="4">
        <v>76.377952755905511</v>
      </c>
      <c r="H13">
        <v>6</v>
      </c>
      <c r="I13">
        <v>4.4000000000000004</v>
      </c>
      <c r="J13" t="s">
        <v>63</v>
      </c>
      <c r="K13">
        <v>428</v>
      </c>
      <c r="L13">
        <v>1</v>
      </c>
      <c r="M13" s="8">
        <v>2</v>
      </c>
    </row>
    <row r="14" spans="1:13">
      <c r="A14" s="1" t="s">
        <v>86</v>
      </c>
      <c r="B14" s="1">
        <v>5</v>
      </c>
      <c r="C14" s="1" t="s">
        <v>14</v>
      </c>
      <c r="D14" s="2">
        <v>192</v>
      </c>
      <c r="E14" s="2">
        <v>184</v>
      </c>
      <c r="F14" s="5">
        <v>49.913194444444443</v>
      </c>
      <c r="G14" s="4">
        <v>75.59055118110237</v>
      </c>
      <c r="H14">
        <v>6</v>
      </c>
      <c r="I14">
        <v>3.6</v>
      </c>
      <c r="J14" t="s">
        <v>64</v>
      </c>
      <c r="K14">
        <v>406</v>
      </c>
      <c r="L14">
        <v>2</v>
      </c>
      <c r="M14" s="8">
        <v>3</v>
      </c>
    </row>
    <row r="15" spans="1:13">
      <c r="A15" s="1" t="s">
        <v>87</v>
      </c>
      <c r="B15" s="1">
        <v>1</v>
      </c>
      <c r="C15" s="1" t="s">
        <v>15</v>
      </c>
      <c r="D15" s="2">
        <v>191</v>
      </c>
      <c r="E15" s="2">
        <v>182</v>
      </c>
      <c r="F15" s="5">
        <v>49.888983306378663</v>
      </c>
      <c r="G15" s="4">
        <v>75.196850393700785</v>
      </c>
      <c r="H15">
        <v>6</v>
      </c>
      <c r="I15">
        <v>3.2</v>
      </c>
      <c r="J15" t="s">
        <v>65</v>
      </c>
      <c r="K15">
        <v>401</v>
      </c>
      <c r="L15">
        <v>3</v>
      </c>
      <c r="M15" s="8">
        <v>3</v>
      </c>
    </row>
    <row r="16" spans="1:13">
      <c r="A16" s="1" t="s">
        <v>88</v>
      </c>
      <c r="B16" s="1"/>
      <c r="C16" s="1" t="s">
        <v>16</v>
      </c>
      <c r="D16" s="2">
        <v>191</v>
      </c>
      <c r="E16" s="2">
        <v>182</v>
      </c>
      <c r="F16" s="5">
        <v>49.888983306378663</v>
      </c>
      <c r="G16" s="4">
        <v>75.196850393700785</v>
      </c>
      <c r="H16">
        <v>6</v>
      </c>
      <c r="I16">
        <v>3.2</v>
      </c>
      <c r="J16" t="s">
        <v>65</v>
      </c>
      <c r="K16">
        <v>401</v>
      </c>
      <c r="L16" s="14">
        <v>4</v>
      </c>
      <c r="M16" s="8">
        <v>3</v>
      </c>
    </row>
    <row r="17" spans="1:13">
      <c r="A17" s="1" t="s">
        <v>91</v>
      </c>
      <c r="B17" s="1"/>
      <c r="C17" s="1" t="s">
        <v>19</v>
      </c>
      <c r="D17" s="2">
        <v>190</v>
      </c>
      <c r="E17" s="2">
        <v>183</v>
      </c>
      <c r="F17" s="5">
        <v>50.692520775623272</v>
      </c>
      <c r="G17" s="4">
        <v>74.803149606299215</v>
      </c>
      <c r="H17">
        <v>6</v>
      </c>
      <c r="I17">
        <v>2.8</v>
      </c>
      <c r="J17" t="s">
        <v>66</v>
      </c>
      <c r="K17">
        <v>403</v>
      </c>
      <c r="L17">
        <v>7</v>
      </c>
      <c r="M17" s="8">
        <v>3</v>
      </c>
    </row>
    <row r="18" spans="1:13">
      <c r="A18" s="1" t="s">
        <v>113</v>
      </c>
      <c r="B18" s="1"/>
      <c r="C18" s="1" t="s">
        <v>43</v>
      </c>
      <c r="D18" s="2">
        <v>181</v>
      </c>
      <c r="E18" s="2">
        <v>189</v>
      </c>
      <c r="F18" s="5">
        <v>57.690546686609082</v>
      </c>
      <c r="G18" s="4">
        <v>71.259842519685037</v>
      </c>
      <c r="H18">
        <v>5</v>
      </c>
      <c r="I18">
        <v>11.3</v>
      </c>
      <c r="J18" t="s">
        <v>75</v>
      </c>
      <c r="K18">
        <v>417</v>
      </c>
      <c r="L18">
        <v>29</v>
      </c>
      <c r="M18" s="8">
        <v>3</v>
      </c>
    </row>
    <row r="19" spans="1:13">
      <c r="A19" s="1" t="s">
        <v>92</v>
      </c>
      <c r="B19" s="1">
        <v>1</v>
      </c>
      <c r="C19" s="1" t="s">
        <v>24</v>
      </c>
      <c r="D19" s="2">
        <v>189</v>
      </c>
      <c r="E19" s="2">
        <v>172</v>
      </c>
      <c r="F19" s="5">
        <v>48.150947621847095</v>
      </c>
      <c r="G19" s="4">
        <v>74.409448818897644</v>
      </c>
      <c r="H19">
        <v>6</v>
      </c>
      <c r="I19">
        <v>2.4</v>
      </c>
      <c r="J19" t="s">
        <v>67</v>
      </c>
      <c r="K19">
        <v>379</v>
      </c>
      <c r="L19">
        <v>8</v>
      </c>
      <c r="M19" s="8">
        <v>4</v>
      </c>
    </row>
    <row r="20" spans="1:13">
      <c r="A20" s="1" t="s">
        <v>94</v>
      </c>
      <c r="B20" s="1"/>
      <c r="C20" s="1" t="s">
        <v>21</v>
      </c>
      <c r="D20" s="2">
        <v>188</v>
      </c>
      <c r="E20" s="2">
        <v>165</v>
      </c>
      <c r="F20" s="5">
        <v>46.684019918515169</v>
      </c>
      <c r="G20" s="4">
        <v>74.015748031496059</v>
      </c>
      <c r="H20">
        <v>6</v>
      </c>
      <c r="I20">
        <v>2</v>
      </c>
      <c r="J20" t="s">
        <v>68</v>
      </c>
      <c r="K20">
        <v>364</v>
      </c>
      <c r="L20">
        <v>10</v>
      </c>
      <c r="M20" s="8">
        <v>4</v>
      </c>
    </row>
    <row r="21" spans="1:13">
      <c r="A21" s="1" t="s">
        <v>96</v>
      </c>
      <c r="B21" s="1"/>
      <c r="C21" s="1" t="s">
        <v>27</v>
      </c>
      <c r="D21" s="2">
        <v>187</v>
      </c>
      <c r="E21" s="2">
        <v>175</v>
      </c>
      <c r="F21" s="5">
        <v>50.044324973548001</v>
      </c>
      <c r="G21" s="4">
        <v>73.622047244094489</v>
      </c>
      <c r="H21">
        <v>6</v>
      </c>
      <c r="I21">
        <v>1.6</v>
      </c>
      <c r="J21" t="s">
        <v>69</v>
      </c>
      <c r="K21">
        <v>386</v>
      </c>
      <c r="L21">
        <v>12</v>
      </c>
      <c r="M21" s="8">
        <v>4</v>
      </c>
    </row>
    <row r="22" spans="1:13">
      <c r="A22" s="1" t="s">
        <v>101</v>
      </c>
      <c r="B22" s="1"/>
      <c r="C22" s="1" t="s">
        <v>31</v>
      </c>
      <c r="D22" s="2">
        <v>185</v>
      </c>
      <c r="E22" s="2">
        <v>164</v>
      </c>
      <c r="F22" s="5">
        <v>47.918188458728999</v>
      </c>
      <c r="G22" s="4">
        <v>72.834645669291348</v>
      </c>
      <c r="H22">
        <v>6</v>
      </c>
      <c r="I22">
        <v>0.8</v>
      </c>
      <c r="J22" t="s">
        <v>72</v>
      </c>
      <c r="K22">
        <v>362</v>
      </c>
      <c r="L22">
        <v>17</v>
      </c>
      <c r="M22" s="8">
        <v>4</v>
      </c>
    </row>
    <row r="23" spans="1:13">
      <c r="A23" s="1" t="s">
        <v>103</v>
      </c>
      <c r="B23" s="1"/>
      <c r="C23" s="1" t="s">
        <v>33</v>
      </c>
      <c r="D23" s="2">
        <v>185</v>
      </c>
      <c r="E23" s="2">
        <v>168</v>
      </c>
      <c r="F23" s="5">
        <v>49.086924762600439</v>
      </c>
      <c r="G23" s="4">
        <v>72.834645669291348</v>
      </c>
      <c r="H23">
        <v>6</v>
      </c>
      <c r="I23">
        <v>0.8</v>
      </c>
      <c r="J23" t="s">
        <v>72</v>
      </c>
      <c r="K23">
        <v>370</v>
      </c>
      <c r="L23">
        <v>19</v>
      </c>
      <c r="M23" s="8">
        <v>4</v>
      </c>
    </row>
    <row r="24" spans="1:13">
      <c r="A24" s="1" t="s">
        <v>104</v>
      </c>
      <c r="B24" s="1"/>
      <c r="C24" s="1" t="s">
        <v>34</v>
      </c>
      <c r="D24" s="2">
        <v>185</v>
      </c>
      <c r="E24" s="2">
        <v>168</v>
      </c>
      <c r="F24" s="5">
        <v>49.086924762600439</v>
      </c>
      <c r="G24" s="4">
        <v>72.834645669291348</v>
      </c>
      <c r="H24">
        <v>6</v>
      </c>
      <c r="I24">
        <v>0.8</v>
      </c>
      <c r="J24" t="s">
        <v>72</v>
      </c>
      <c r="K24">
        <v>370</v>
      </c>
      <c r="L24">
        <v>20</v>
      </c>
      <c r="M24" s="8">
        <v>4</v>
      </c>
    </row>
    <row r="25" spans="1:13">
      <c r="A25" s="1" t="s">
        <v>105</v>
      </c>
      <c r="B25" s="1"/>
      <c r="C25" s="1" t="s">
        <v>35</v>
      </c>
      <c r="D25" s="2">
        <v>185</v>
      </c>
      <c r="E25" s="2">
        <v>168</v>
      </c>
      <c r="F25" s="5">
        <v>49.086924762600439</v>
      </c>
      <c r="G25" s="4">
        <v>72.834645669291348</v>
      </c>
      <c r="H25">
        <v>6</v>
      </c>
      <c r="I25">
        <v>0.8</v>
      </c>
      <c r="J25" t="s">
        <v>72</v>
      </c>
      <c r="K25">
        <v>370</v>
      </c>
      <c r="L25">
        <v>21</v>
      </c>
      <c r="M25" s="8">
        <v>4</v>
      </c>
    </row>
    <row r="26" spans="1:13">
      <c r="A26" s="1" t="s">
        <v>106</v>
      </c>
      <c r="B26" s="1"/>
      <c r="C26" s="1" t="s">
        <v>36</v>
      </c>
      <c r="D26" s="2">
        <v>184</v>
      </c>
      <c r="E26" s="2">
        <v>167</v>
      </c>
      <c r="F26" s="5">
        <v>49.326559546313803</v>
      </c>
      <c r="G26" s="4">
        <v>72.440944881889763</v>
      </c>
      <c r="H26">
        <v>6</v>
      </c>
      <c r="I26">
        <v>0.4</v>
      </c>
      <c r="J26" t="s">
        <v>73</v>
      </c>
      <c r="K26">
        <v>368</v>
      </c>
      <c r="L26">
        <v>22</v>
      </c>
      <c r="M26" s="8">
        <v>4</v>
      </c>
    </row>
    <row r="27" spans="1:13">
      <c r="A27" s="1" t="s">
        <v>107</v>
      </c>
      <c r="B27" s="1"/>
      <c r="C27" s="1" t="s">
        <v>37</v>
      </c>
      <c r="D27" s="2">
        <v>184</v>
      </c>
      <c r="E27" s="2">
        <v>174</v>
      </c>
      <c r="F27" s="5">
        <v>51.394139886578444</v>
      </c>
      <c r="G27" s="4">
        <v>72.440944881889763</v>
      </c>
      <c r="H27">
        <v>6</v>
      </c>
      <c r="I27">
        <v>0.4</v>
      </c>
      <c r="J27" t="s">
        <v>73</v>
      </c>
      <c r="K27">
        <v>384</v>
      </c>
      <c r="L27">
        <v>23</v>
      </c>
      <c r="M27" s="8">
        <v>4</v>
      </c>
    </row>
    <row r="28" spans="1:13">
      <c r="A28" s="1" t="s">
        <v>109</v>
      </c>
      <c r="B28" s="1">
        <v>1</v>
      </c>
      <c r="C28" s="1" t="s">
        <v>39</v>
      </c>
      <c r="D28" s="2">
        <v>183</v>
      </c>
      <c r="E28" s="2">
        <v>167</v>
      </c>
      <c r="F28" s="5">
        <v>49.867120547045296</v>
      </c>
      <c r="G28" s="4">
        <v>72.047244094488192</v>
      </c>
      <c r="H28">
        <v>6</v>
      </c>
      <c r="I28">
        <v>0</v>
      </c>
      <c r="J28" t="s">
        <v>70</v>
      </c>
      <c r="K28">
        <v>368</v>
      </c>
      <c r="L28">
        <v>25</v>
      </c>
      <c r="M28" s="8">
        <v>4</v>
      </c>
    </row>
    <row r="29" spans="1:13">
      <c r="A29" s="1" t="s">
        <v>112</v>
      </c>
      <c r="B29" s="1">
        <v>1</v>
      </c>
      <c r="C29" s="1" t="s">
        <v>42</v>
      </c>
      <c r="D29" s="2">
        <v>182</v>
      </c>
      <c r="E29" s="2">
        <v>162</v>
      </c>
      <c r="F29" s="5">
        <v>48.907136819224732</v>
      </c>
      <c r="G29" s="4">
        <v>71.653543307086608</v>
      </c>
      <c r="H29">
        <v>5</v>
      </c>
      <c r="I29">
        <v>11.7</v>
      </c>
      <c r="J29" t="s">
        <v>74</v>
      </c>
      <c r="K29">
        <v>357</v>
      </c>
      <c r="L29">
        <v>28</v>
      </c>
      <c r="M29" s="8">
        <v>4</v>
      </c>
    </row>
    <row r="30" spans="1:13">
      <c r="A30" s="1" t="s">
        <v>116</v>
      </c>
      <c r="B30" s="1">
        <v>2</v>
      </c>
      <c r="C30" s="1" t="s">
        <v>31</v>
      </c>
      <c r="D30" s="2">
        <v>180</v>
      </c>
      <c r="E30" s="2">
        <v>174</v>
      </c>
      <c r="F30" s="5">
        <v>53.703703703703702</v>
      </c>
      <c r="G30" s="4">
        <v>70.866141732283467</v>
      </c>
      <c r="H30">
        <v>5</v>
      </c>
      <c r="I30">
        <v>10.9</v>
      </c>
      <c r="J30" t="s">
        <v>76</v>
      </c>
      <c r="K30">
        <v>384</v>
      </c>
      <c r="L30">
        <v>32</v>
      </c>
      <c r="M30" s="8">
        <v>4</v>
      </c>
    </row>
    <row r="31" spans="1:13">
      <c r="A31" s="1" t="s">
        <v>119</v>
      </c>
      <c r="B31" s="1"/>
      <c r="C31" s="1" t="s">
        <v>20</v>
      </c>
      <c r="D31" s="2">
        <v>178</v>
      </c>
      <c r="E31" s="2">
        <v>176</v>
      </c>
      <c r="F31" s="5">
        <v>55.548541850776424</v>
      </c>
      <c r="G31" s="4">
        <v>70.078740157480311</v>
      </c>
      <c r="H31">
        <v>5</v>
      </c>
      <c r="I31">
        <v>10.1</v>
      </c>
      <c r="J31" t="s">
        <v>78</v>
      </c>
      <c r="K31">
        <v>388</v>
      </c>
      <c r="L31">
        <v>35</v>
      </c>
      <c r="M31" s="8">
        <v>4</v>
      </c>
    </row>
    <row r="32" spans="1:13">
      <c r="A32" s="1" t="s">
        <v>123</v>
      </c>
      <c r="B32" s="1">
        <v>2</v>
      </c>
      <c r="C32" s="1" t="s">
        <v>39</v>
      </c>
      <c r="D32" s="2">
        <v>175</v>
      </c>
      <c r="E32" s="2">
        <v>163</v>
      </c>
      <c r="F32" s="5">
        <v>53.224489795918366</v>
      </c>
      <c r="G32" s="4">
        <v>68.897637795275585</v>
      </c>
      <c r="H32">
        <v>5</v>
      </c>
      <c r="I32">
        <v>8.9</v>
      </c>
      <c r="J32" t="s">
        <v>81</v>
      </c>
      <c r="K32">
        <v>359</v>
      </c>
      <c r="L32">
        <v>39</v>
      </c>
      <c r="M32" s="8">
        <v>4</v>
      </c>
    </row>
    <row r="33" spans="1:13">
      <c r="A33" s="1" t="s">
        <v>89</v>
      </c>
      <c r="B33" s="1"/>
      <c r="C33" s="1" t="s">
        <v>22</v>
      </c>
      <c r="D33" s="2">
        <v>190</v>
      </c>
      <c r="E33" s="2">
        <v>206</v>
      </c>
      <c r="F33" s="5">
        <v>57.063711911357338</v>
      </c>
      <c r="G33" s="4">
        <v>74.803149606299215</v>
      </c>
      <c r="H33">
        <v>6</v>
      </c>
      <c r="I33">
        <v>2.8</v>
      </c>
      <c r="J33" t="s">
        <v>66</v>
      </c>
      <c r="K33">
        <v>454</v>
      </c>
      <c r="L33">
        <v>5</v>
      </c>
      <c r="M33" s="8">
        <v>5</v>
      </c>
    </row>
    <row r="34" spans="1:13">
      <c r="A34" s="1" t="s">
        <v>108</v>
      </c>
      <c r="B34" s="1"/>
      <c r="C34" s="1" t="s">
        <v>38</v>
      </c>
      <c r="D34" s="2">
        <v>184</v>
      </c>
      <c r="E34" s="2">
        <v>200</v>
      </c>
      <c r="F34" s="5">
        <v>59.073724007561438</v>
      </c>
      <c r="G34" s="4">
        <v>72.440944881889763</v>
      </c>
      <c r="H34">
        <v>6</v>
      </c>
      <c r="I34">
        <v>0.4</v>
      </c>
      <c r="J34" t="s">
        <v>73</v>
      </c>
      <c r="K34">
        <v>441</v>
      </c>
      <c r="L34">
        <v>24</v>
      </c>
      <c r="M34" s="8">
        <v>5</v>
      </c>
    </row>
    <row r="35" spans="1:13">
      <c r="A35" s="1" t="s">
        <v>90</v>
      </c>
      <c r="B35" s="1"/>
      <c r="C35" s="1" t="s">
        <v>23</v>
      </c>
      <c r="D35" s="2">
        <v>190</v>
      </c>
      <c r="E35" s="2">
        <v>158</v>
      </c>
      <c r="F35" s="5">
        <v>43.767313019390578</v>
      </c>
      <c r="G35" s="4">
        <v>74.803149606299215</v>
      </c>
      <c r="H35">
        <v>6</v>
      </c>
      <c r="I35">
        <v>2.8</v>
      </c>
      <c r="J35" t="s">
        <v>66</v>
      </c>
      <c r="K35">
        <v>348</v>
      </c>
      <c r="L35">
        <v>6</v>
      </c>
      <c r="M35" s="8">
        <v>6</v>
      </c>
    </row>
    <row r="36" spans="1:13">
      <c r="A36" s="1" t="s">
        <v>93</v>
      </c>
      <c r="B36" s="1"/>
      <c r="C36" s="1" t="s">
        <v>25</v>
      </c>
      <c r="D36" s="2">
        <v>188</v>
      </c>
      <c r="E36" s="2">
        <v>154</v>
      </c>
      <c r="F36" s="5">
        <v>43.571751923947488</v>
      </c>
      <c r="G36" s="4">
        <v>74.015748031496059</v>
      </c>
      <c r="H36">
        <v>6</v>
      </c>
      <c r="I36">
        <v>2</v>
      </c>
      <c r="J36" t="s">
        <v>68</v>
      </c>
      <c r="K36">
        <v>340</v>
      </c>
      <c r="L36">
        <v>9</v>
      </c>
      <c r="M36" s="8">
        <v>6</v>
      </c>
    </row>
    <row r="37" spans="1:13">
      <c r="A37" s="1" t="s">
        <v>97</v>
      </c>
      <c r="B37" s="1"/>
      <c r="C37" s="1" t="s">
        <v>28</v>
      </c>
      <c r="D37" s="2">
        <v>187</v>
      </c>
      <c r="E37" s="2">
        <v>155</v>
      </c>
      <c r="F37" s="5">
        <v>44.324973547999662</v>
      </c>
      <c r="G37" s="4">
        <v>73.622047244094489</v>
      </c>
      <c r="H37">
        <v>6</v>
      </c>
      <c r="I37">
        <v>1.6</v>
      </c>
      <c r="J37" t="s">
        <v>69</v>
      </c>
      <c r="K37">
        <v>342</v>
      </c>
      <c r="L37">
        <v>13</v>
      </c>
      <c r="M37" s="8">
        <v>6</v>
      </c>
    </row>
    <row r="38" spans="1:13">
      <c r="A38" s="1" t="s">
        <v>98</v>
      </c>
      <c r="B38" s="1"/>
      <c r="C38" s="1" t="s">
        <v>29</v>
      </c>
      <c r="D38" s="2">
        <v>187</v>
      </c>
      <c r="E38" s="2">
        <v>145</v>
      </c>
      <c r="F38" s="5">
        <v>41.465297835225485</v>
      </c>
      <c r="G38" s="4">
        <v>73.622047244094489</v>
      </c>
      <c r="H38">
        <v>6</v>
      </c>
      <c r="I38">
        <v>1.6</v>
      </c>
      <c r="J38" t="s">
        <v>69</v>
      </c>
      <c r="K38">
        <v>320</v>
      </c>
      <c r="L38">
        <v>14</v>
      </c>
      <c r="M38" s="8">
        <v>6</v>
      </c>
    </row>
    <row r="39" spans="1:13">
      <c r="A39" s="1" t="s">
        <v>99</v>
      </c>
      <c r="B39" s="1"/>
      <c r="C39" s="1" t="s">
        <v>30</v>
      </c>
      <c r="D39" s="2">
        <v>183</v>
      </c>
      <c r="E39" s="2">
        <v>148</v>
      </c>
      <c r="F39" s="5">
        <v>44.193615814147932</v>
      </c>
      <c r="G39" s="4">
        <v>72.047244094488192</v>
      </c>
      <c r="H39">
        <v>6</v>
      </c>
      <c r="I39">
        <v>0</v>
      </c>
      <c r="J39" t="s">
        <v>70</v>
      </c>
      <c r="K39">
        <v>326</v>
      </c>
      <c r="L39">
        <v>15</v>
      </c>
      <c r="M39" s="8">
        <v>6</v>
      </c>
    </row>
    <row r="40" spans="1:13">
      <c r="A40" s="1" t="s">
        <v>115</v>
      </c>
      <c r="B40" s="1"/>
      <c r="C40" s="1" t="s">
        <v>45</v>
      </c>
      <c r="D40" s="2">
        <v>181</v>
      </c>
      <c r="E40" s="2">
        <v>146</v>
      </c>
      <c r="F40" s="5">
        <v>44.565184212936117</v>
      </c>
      <c r="G40" s="4">
        <v>71.259842519685037</v>
      </c>
      <c r="H40">
        <v>5</v>
      </c>
      <c r="I40">
        <v>11.3</v>
      </c>
      <c r="J40" t="s">
        <v>75</v>
      </c>
      <c r="K40">
        <v>322</v>
      </c>
      <c r="L40">
        <v>31</v>
      </c>
      <c r="M40" s="8">
        <v>6</v>
      </c>
    </row>
    <row r="41" spans="1:13">
      <c r="A41" s="1" t="s">
        <v>117</v>
      </c>
      <c r="C41" s="1" t="s">
        <v>42</v>
      </c>
      <c r="D41" s="2">
        <v>180</v>
      </c>
      <c r="E41" s="2">
        <v>148</v>
      </c>
      <c r="F41" s="5">
        <v>45.67901234567902</v>
      </c>
      <c r="G41" s="4">
        <v>70.866141732283467</v>
      </c>
      <c r="H41">
        <v>5</v>
      </c>
      <c r="I41">
        <v>10.9</v>
      </c>
      <c r="J41" t="s">
        <v>76</v>
      </c>
      <c r="K41">
        <v>326</v>
      </c>
      <c r="L41">
        <v>33</v>
      </c>
      <c r="M41" s="8">
        <v>6</v>
      </c>
    </row>
    <row r="42" spans="1:13">
      <c r="A42" s="1" t="s">
        <v>118</v>
      </c>
      <c r="B42" s="1"/>
      <c r="C42" s="1" t="s">
        <v>46</v>
      </c>
      <c r="D42" s="2">
        <v>179</v>
      </c>
      <c r="E42" s="2">
        <v>152</v>
      </c>
      <c r="F42" s="5">
        <v>47.439218501295215</v>
      </c>
      <c r="G42" s="4">
        <v>70.472440944881896</v>
      </c>
      <c r="H42">
        <v>5</v>
      </c>
      <c r="I42">
        <v>10.5</v>
      </c>
      <c r="J42" t="s">
        <v>77</v>
      </c>
      <c r="K42">
        <v>335</v>
      </c>
      <c r="L42">
        <v>34</v>
      </c>
      <c r="M42" s="8">
        <v>6</v>
      </c>
    </row>
    <row r="43" spans="1:13">
      <c r="A43" s="1" t="s">
        <v>120</v>
      </c>
      <c r="B43" s="1"/>
      <c r="C43" s="1" t="s">
        <v>47</v>
      </c>
      <c r="D43" s="2">
        <v>177</v>
      </c>
      <c r="E43" s="2">
        <v>159</v>
      </c>
      <c r="F43" s="5">
        <v>50.751699703150436</v>
      </c>
      <c r="G43" s="4">
        <v>69.685039370078741</v>
      </c>
      <c r="H43">
        <v>5</v>
      </c>
      <c r="I43">
        <v>9.6999999999999993</v>
      </c>
      <c r="J43" t="s">
        <v>79</v>
      </c>
      <c r="K43">
        <v>351</v>
      </c>
      <c r="L43">
        <v>36</v>
      </c>
      <c r="M43" s="8">
        <v>6</v>
      </c>
    </row>
    <row r="44" spans="1:13">
      <c r="A44" s="1" t="s">
        <v>121</v>
      </c>
      <c r="B44" s="1"/>
      <c r="C44" s="1" t="s">
        <v>48</v>
      </c>
      <c r="D44" s="2">
        <v>176</v>
      </c>
      <c r="E44" s="2">
        <v>147</v>
      </c>
      <c r="F44" s="5">
        <v>47.456095041322314</v>
      </c>
      <c r="G44" s="4">
        <v>69.29133858267717</v>
      </c>
      <c r="H44">
        <v>5</v>
      </c>
      <c r="I44">
        <v>9.3000000000000007</v>
      </c>
      <c r="J44" t="s">
        <v>80</v>
      </c>
      <c r="K44">
        <v>324</v>
      </c>
      <c r="L44">
        <v>37</v>
      </c>
      <c r="M44" s="9">
        <v>6</v>
      </c>
    </row>
  </sheetData>
  <sortState xmlns:xlrd2="http://schemas.microsoft.com/office/spreadsheetml/2017/richdata2" ref="A3:M44">
    <sortCondition ref="M3:M44"/>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AC1AF-4C19-4A9E-AB65-D727E22ED583}">
  <sheetPr codeName="Sheet8"/>
  <dimension ref="A1"/>
  <sheetViews>
    <sheetView zoomScale="85" zoomScaleNormal="85" workbookViewId="0">
      <selection sqref="A1:E1048576"/>
    </sheetView>
  </sheetViews>
  <sheetFormatPr defaultRowHeight="14.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B3E5-F73A-4522-A23E-9F2B4CD54AC9}">
  <dimension ref="A1:AB54"/>
  <sheetViews>
    <sheetView zoomScale="106" zoomScaleNormal="106" workbookViewId="0">
      <pane xSplit="1" ySplit="3" topLeftCell="D4" activePane="bottomRight" state="frozen"/>
      <selection pane="topRight" activeCell="B1" sqref="B1"/>
      <selection pane="bottomLeft" activeCell="A4" sqref="A4"/>
      <selection pane="bottomRight" activeCell="F8" sqref="F8"/>
    </sheetView>
  </sheetViews>
  <sheetFormatPr defaultRowHeight="14.5"/>
  <cols>
    <col min="1" max="9" width="21.1796875" customWidth="1"/>
    <col min="12" max="12" width="11.26953125" bestFit="1" customWidth="1"/>
    <col min="13" max="13" width="8.7265625" style="4"/>
    <col min="20" max="20" width="9.54296875" customWidth="1"/>
    <col min="24" max="24" width="17.81640625" customWidth="1"/>
  </cols>
  <sheetData>
    <row r="1" spans="1:28">
      <c r="C1" t="s">
        <v>174</v>
      </c>
      <c r="J1" t="s">
        <v>235</v>
      </c>
    </row>
    <row r="2" spans="1:28">
      <c r="C2" s="17" t="s">
        <v>162</v>
      </c>
      <c r="D2" s="17"/>
      <c r="E2" s="17"/>
      <c r="F2" s="17"/>
      <c r="G2" s="17"/>
      <c r="R2">
        <f>MAX(R4:R45)</f>
        <v>42</v>
      </c>
      <c r="S2">
        <f>MAX(S4:S45)</f>
        <v>42</v>
      </c>
      <c r="T2">
        <f>MAX(T4:T45)</f>
        <v>42</v>
      </c>
    </row>
    <row r="3" spans="1:28">
      <c r="A3" t="s">
        <v>3</v>
      </c>
      <c r="B3" t="s">
        <v>11</v>
      </c>
      <c r="C3" t="s">
        <v>131</v>
      </c>
      <c r="D3" t="s">
        <v>163</v>
      </c>
      <c r="E3" t="s">
        <v>175</v>
      </c>
      <c r="F3" t="s">
        <v>185</v>
      </c>
      <c r="G3" t="s">
        <v>230</v>
      </c>
      <c r="H3" t="s">
        <v>177</v>
      </c>
      <c r="I3" t="s">
        <v>164</v>
      </c>
      <c r="J3" t="s">
        <v>5</v>
      </c>
      <c r="K3" t="s">
        <v>4</v>
      </c>
      <c r="L3" t="s">
        <v>26</v>
      </c>
      <c r="M3" s="4" t="s">
        <v>6</v>
      </c>
      <c r="N3" t="s">
        <v>7</v>
      </c>
      <c r="O3" t="s">
        <v>8</v>
      </c>
      <c r="P3" t="s">
        <v>9</v>
      </c>
      <c r="Q3" t="s">
        <v>10</v>
      </c>
      <c r="R3" t="s">
        <v>171</v>
      </c>
      <c r="S3" t="s">
        <v>172</v>
      </c>
      <c r="T3" t="s">
        <v>173</v>
      </c>
      <c r="U3" t="s">
        <v>216</v>
      </c>
      <c r="V3" s="14" t="s">
        <v>182</v>
      </c>
      <c r="W3" t="s">
        <v>217</v>
      </c>
      <c r="X3" t="s">
        <v>219</v>
      </c>
      <c r="Z3">
        <f>SUM(Z4:Z10)</f>
        <v>38</v>
      </c>
      <c r="AA3">
        <f>Z3-Z5</f>
        <v>21</v>
      </c>
      <c r="AB3">
        <f>AA3/Z3</f>
        <v>0.55263157894736847</v>
      </c>
    </row>
    <row r="4" spans="1:28" ht="25">
      <c r="A4" s="1" t="s">
        <v>86</v>
      </c>
      <c r="B4" s="1">
        <v>7</v>
      </c>
      <c r="C4" s="1" t="s">
        <v>14</v>
      </c>
      <c r="D4" s="1" t="s">
        <v>14</v>
      </c>
      <c r="E4" s="1" t="s">
        <v>14</v>
      </c>
      <c r="F4" s="1" t="s">
        <v>14</v>
      </c>
      <c r="G4" s="1" t="s">
        <v>14</v>
      </c>
      <c r="H4" s="1">
        <f>_xlfn.XLOOKUP(G4,'rank lookup'!$A$1:$A$21,'rank lookup'!$B$1:$B$21,,0)</f>
        <v>1</v>
      </c>
      <c r="I4" s="1" t="s">
        <v>234</v>
      </c>
      <c r="J4" s="19">
        <v>192</v>
      </c>
      <c r="K4" s="19">
        <v>174</v>
      </c>
      <c r="L4" s="5">
        <f t="shared" ref="L4:L35" si="0">K4/(J4*J4)*10000</f>
        <v>47.200520833333329</v>
      </c>
      <c r="M4" s="4">
        <f t="shared" ref="M4:M35" si="1">CONVERT(J4,"cm","in")</f>
        <v>75.59055118110237</v>
      </c>
      <c r="N4">
        <f t="shared" ref="N4:N35" si="2">_xlfn.FLOOR.MATH(M4/12)</f>
        <v>6</v>
      </c>
      <c r="O4">
        <f t="shared" ref="O4:O35" si="3">ROUND(M4-N4*12,1)</f>
        <v>3.6</v>
      </c>
      <c r="P4" t="str">
        <f t="shared" ref="P4:P35" si="4">N4&amp;"' "&amp;O4&amp;""""</f>
        <v>6' 3.6"</v>
      </c>
      <c r="Q4">
        <f t="shared" ref="Q4:Q35" si="5">ROUND(CONVERT(K4,"kg","lbm"),0)</f>
        <v>384</v>
      </c>
      <c r="R4">
        <f>_xlfn.RANK.EQ(J4,J$4:J$45)</f>
        <v>3</v>
      </c>
      <c r="S4">
        <f>_xlfn.RANK.EQ(K4,K$4:K$45)</f>
        <v>12</v>
      </c>
      <c r="T4">
        <f>_xlfn.RANK.EQ(L4,L$4:L$45)</f>
        <v>20</v>
      </c>
      <c r="U4">
        <f>_xlfn.XLOOKUP(A4,'January 2023 Data'!$A$4:$A$49,'January 2023 Data'!$H$4:$H$49,,0)</f>
        <v>192</v>
      </c>
      <c r="V4">
        <f>J4-U4</f>
        <v>0</v>
      </c>
      <c r="W4" t="s">
        <v>218</v>
      </c>
      <c r="X4" t="str">
        <f>A4&amp;", "&amp;W4</f>
        <v>Terunofuji, OUT</v>
      </c>
      <c r="Y4" cm="1">
        <f t="array" ref="Y4:Y10">_xlfn.SEQUENCE(7,1,-1)</f>
        <v>-1</v>
      </c>
      <c r="Z4">
        <f>COUNTIF(V$4:V$45,Y4)</f>
        <v>7</v>
      </c>
    </row>
    <row r="5" spans="1:28" ht="37.5">
      <c r="A5" s="1" t="s">
        <v>123</v>
      </c>
      <c r="B5" s="1">
        <v>2</v>
      </c>
      <c r="C5" s="1" t="s">
        <v>39</v>
      </c>
      <c r="D5" s="1" t="s">
        <v>39</v>
      </c>
      <c r="E5" s="1" t="s">
        <v>39</v>
      </c>
      <c r="F5" s="1" t="s">
        <v>39</v>
      </c>
      <c r="G5" s="1" t="s">
        <v>39</v>
      </c>
      <c r="H5" s="1">
        <f>_xlfn.XLOOKUP(G5,'rank lookup'!$A$1:$A$21,'rank lookup'!$B$1:$B$21,,0)</f>
        <v>2</v>
      </c>
      <c r="I5" s="1" t="s">
        <v>240</v>
      </c>
      <c r="J5" s="19">
        <v>175</v>
      </c>
      <c r="K5" s="19">
        <v>165</v>
      </c>
      <c r="L5" s="5">
        <f t="shared" si="0"/>
        <v>53.877551020408163</v>
      </c>
      <c r="M5" s="4">
        <f t="shared" si="1"/>
        <v>68.897637795275585</v>
      </c>
      <c r="N5">
        <f t="shared" si="2"/>
        <v>5</v>
      </c>
      <c r="O5">
        <f t="shared" si="3"/>
        <v>8.9</v>
      </c>
      <c r="P5" t="str">
        <f t="shared" si="4"/>
        <v>5' 8.9"</v>
      </c>
      <c r="Q5">
        <f t="shared" si="5"/>
        <v>364</v>
      </c>
      <c r="R5">
        <f t="shared" ref="R5:T45" si="6">_xlfn.RANK.EQ(J5,J$4:J$45)</f>
        <v>39</v>
      </c>
      <c r="S5">
        <f t="shared" si="6"/>
        <v>18</v>
      </c>
      <c r="T5">
        <f t="shared" si="6"/>
        <v>5</v>
      </c>
      <c r="U5">
        <f>_xlfn.XLOOKUP(A5,'January 2023 Data'!$A$4:$A$49,'January 2023 Data'!$H$4:$H$49,,0)</f>
        <v>175</v>
      </c>
      <c r="V5">
        <f t="shared" ref="V5:V53" si="7">J5-U5</f>
        <v>0</v>
      </c>
      <c r="W5" t="s">
        <v>218</v>
      </c>
      <c r="X5" t="str">
        <f t="shared" ref="X5:X54" si="8">A5&amp;", "&amp;W5</f>
        <v>Takakeisho, OUT</v>
      </c>
      <c r="Y5">
        <v>0</v>
      </c>
      <c r="Z5">
        <f t="shared" ref="Z5:Z10" si="9">COUNTIF(V$4:V$45,Y5)</f>
        <v>17</v>
      </c>
    </row>
    <row r="6" spans="1:28">
      <c r="A6" s="1" t="s">
        <v>95</v>
      </c>
      <c r="B6" s="1"/>
      <c r="C6" s="1" t="s">
        <v>31</v>
      </c>
      <c r="D6" s="1" t="s">
        <v>31</v>
      </c>
      <c r="E6" s="1" t="s">
        <v>31</v>
      </c>
      <c r="F6" s="1" t="s">
        <v>31</v>
      </c>
      <c r="G6" s="1" t="s">
        <v>31</v>
      </c>
      <c r="H6" s="1">
        <f>_xlfn.XLOOKUP(G6,'rank lookup'!$A$1:$A$21,'rank lookup'!$B$1:$B$21,,0)</f>
        <v>3</v>
      </c>
      <c r="I6" s="1" t="s">
        <v>239</v>
      </c>
      <c r="J6" s="19">
        <v>188</v>
      </c>
      <c r="K6" s="19">
        <v>142</v>
      </c>
      <c r="L6" s="5">
        <f t="shared" si="0"/>
        <v>40.176550475328199</v>
      </c>
      <c r="M6" s="4">
        <f t="shared" si="1"/>
        <v>74.015748031496059</v>
      </c>
      <c r="N6">
        <f t="shared" si="2"/>
        <v>6</v>
      </c>
      <c r="O6">
        <f t="shared" si="3"/>
        <v>2</v>
      </c>
      <c r="P6" t="str">
        <f t="shared" si="4"/>
        <v>6' 2"</v>
      </c>
      <c r="Q6">
        <f t="shared" si="5"/>
        <v>313</v>
      </c>
      <c r="R6">
        <f t="shared" si="6"/>
        <v>13</v>
      </c>
      <c r="S6">
        <f t="shared" si="6"/>
        <v>35</v>
      </c>
      <c r="T6">
        <f t="shared" si="6"/>
        <v>40</v>
      </c>
      <c r="U6">
        <f>_xlfn.XLOOKUP(A6,'January 2023 Data'!$A$4:$A$49,'January 2023 Data'!$H$4:$H$49,,0)</f>
        <v>185</v>
      </c>
      <c r="V6">
        <f t="shared" si="7"/>
        <v>3</v>
      </c>
      <c r="W6" s="21" t="s">
        <v>220</v>
      </c>
      <c r="X6" t="str">
        <f t="shared" si="8"/>
        <v>Hoshoryu, 7-6</v>
      </c>
      <c r="Y6">
        <v>1</v>
      </c>
      <c r="Z6">
        <f t="shared" si="9"/>
        <v>11</v>
      </c>
    </row>
    <row r="7" spans="1:28">
      <c r="A7" s="1" t="s">
        <v>102</v>
      </c>
      <c r="B7" s="1"/>
      <c r="C7" s="1" t="s">
        <v>42</v>
      </c>
      <c r="D7" s="1" t="s">
        <v>42</v>
      </c>
      <c r="E7" s="1" t="s">
        <v>42</v>
      </c>
      <c r="F7" s="1" t="s">
        <v>31</v>
      </c>
      <c r="G7" s="1" t="s">
        <v>31</v>
      </c>
      <c r="H7" s="1">
        <f>_xlfn.XLOOKUP(G7,'rank lookup'!$A$1:$A$21,'rank lookup'!$B$1:$B$21,,0)</f>
        <v>3</v>
      </c>
      <c r="I7" s="1" t="s">
        <v>236</v>
      </c>
      <c r="J7" s="19">
        <v>186</v>
      </c>
      <c r="K7" s="19">
        <v>143</v>
      </c>
      <c r="L7" s="5">
        <f t="shared" si="0"/>
        <v>41.334258295756733</v>
      </c>
      <c r="M7" s="4">
        <f t="shared" si="1"/>
        <v>73.228346456692918</v>
      </c>
      <c r="N7">
        <f t="shared" si="2"/>
        <v>6</v>
      </c>
      <c r="O7">
        <f t="shared" si="3"/>
        <v>1.2</v>
      </c>
      <c r="P7" t="str">
        <f t="shared" si="4"/>
        <v>6' 1.2"</v>
      </c>
      <c r="Q7">
        <f t="shared" si="5"/>
        <v>315</v>
      </c>
      <c r="R7">
        <f t="shared" si="6"/>
        <v>19</v>
      </c>
      <c r="S7">
        <f t="shared" si="6"/>
        <v>33</v>
      </c>
      <c r="T7">
        <f t="shared" si="6"/>
        <v>37</v>
      </c>
      <c r="U7">
        <f>_xlfn.XLOOKUP(A7,'January 2023 Data'!$A$4:$A$49,'January 2023 Data'!$H$4:$H$49,,0)</f>
        <v>185</v>
      </c>
      <c r="V7">
        <f t="shared" si="7"/>
        <v>1</v>
      </c>
      <c r="W7" s="22" t="s">
        <v>221</v>
      </c>
      <c r="X7" t="str">
        <f t="shared" si="8"/>
        <v>Kiribayama, 9-4</v>
      </c>
      <c r="Y7">
        <v>2</v>
      </c>
      <c r="Z7">
        <f t="shared" si="9"/>
        <v>2</v>
      </c>
    </row>
    <row r="8" spans="1:28">
      <c r="A8" s="1" t="s">
        <v>100</v>
      </c>
      <c r="B8" s="1"/>
      <c r="C8" s="1" t="s">
        <v>141</v>
      </c>
      <c r="D8" s="1" t="s">
        <v>139</v>
      </c>
      <c r="E8" s="1" t="s">
        <v>42</v>
      </c>
      <c r="F8" s="1" t="s">
        <v>42</v>
      </c>
      <c r="G8" s="1" t="s">
        <v>31</v>
      </c>
      <c r="H8" s="1">
        <f>_xlfn.XLOOKUP(G8,'rank lookup'!$A$1:$A$21,'rank lookup'!$B$1:$B$21,,0)</f>
        <v>3</v>
      </c>
      <c r="I8" s="1" t="s">
        <v>237</v>
      </c>
      <c r="J8" s="19">
        <v>187</v>
      </c>
      <c r="K8" s="19">
        <v>147</v>
      </c>
      <c r="L8" s="5">
        <f t="shared" si="0"/>
        <v>42.03723297778032</v>
      </c>
      <c r="M8" s="4">
        <f t="shared" si="1"/>
        <v>73.622047244094489</v>
      </c>
      <c r="N8">
        <f t="shared" si="2"/>
        <v>6</v>
      </c>
      <c r="O8">
        <f t="shared" si="3"/>
        <v>1.6</v>
      </c>
      <c r="P8" t="str">
        <f t="shared" si="4"/>
        <v>6' 1.6"</v>
      </c>
      <c r="Q8">
        <f t="shared" si="5"/>
        <v>324</v>
      </c>
      <c r="R8">
        <f t="shared" si="6"/>
        <v>17</v>
      </c>
      <c r="S8">
        <f t="shared" si="6"/>
        <v>31</v>
      </c>
      <c r="T8">
        <f t="shared" si="6"/>
        <v>35</v>
      </c>
      <c r="U8">
        <f>_xlfn.XLOOKUP(A8,'January 2023 Data'!$A$4:$A$49,'January 2023 Data'!$H$4:$H$49,,0)</f>
        <v>186</v>
      </c>
      <c r="V8">
        <f t="shared" si="7"/>
        <v>1</v>
      </c>
      <c r="W8" s="22" t="s">
        <v>222</v>
      </c>
      <c r="X8" t="str">
        <f t="shared" si="8"/>
        <v>Wakamotoharu, 10-3</v>
      </c>
      <c r="Y8">
        <v>3</v>
      </c>
      <c r="Z8">
        <f t="shared" si="9"/>
        <v>1</v>
      </c>
    </row>
    <row r="9" spans="1:28">
      <c r="A9" s="1" t="s">
        <v>112</v>
      </c>
      <c r="B9" s="1">
        <v>1</v>
      </c>
      <c r="C9" s="1" t="s">
        <v>31</v>
      </c>
      <c r="D9" s="1" t="s">
        <v>42</v>
      </c>
      <c r="E9" s="1" t="s">
        <v>132</v>
      </c>
      <c r="F9" s="1" t="s">
        <v>42</v>
      </c>
      <c r="G9" s="1" t="s">
        <v>31</v>
      </c>
      <c r="H9" s="1">
        <f>_xlfn.XLOOKUP(G9,'rank lookup'!$A$1:$A$21,'rank lookup'!$B$1:$B$21,,0)</f>
        <v>3</v>
      </c>
      <c r="I9" s="1" t="s">
        <v>241</v>
      </c>
      <c r="J9" s="19">
        <v>182</v>
      </c>
      <c r="K9" s="19">
        <v>164</v>
      </c>
      <c r="L9" s="5">
        <f t="shared" si="0"/>
        <v>49.510928631807751</v>
      </c>
      <c r="M9" s="4">
        <f t="shared" si="1"/>
        <v>71.653543307086608</v>
      </c>
      <c r="N9">
        <f t="shared" si="2"/>
        <v>5</v>
      </c>
      <c r="O9">
        <f t="shared" si="3"/>
        <v>11.7</v>
      </c>
      <c r="P9" t="str">
        <f t="shared" si="4"/>
        <v>5' 11.7"</v>
      </c>
      <c r="Q9">
        <f t="shared" si="5"/>
        <v>362</v>
      </c>
      <c r="R9">
        <f t="shared" si="6"/>
        <v>31</v>
      </c>
      <c r="S9">
        <f t="shared" si="6"/>
        <v>20</v>
      </c>
      <c r="T9">
        <f t="shared" si="6"/>
        <v>13</v>
      </c>
      <c r="U9">
        <f>_xlfn.XLOOKUP(A9,'January 2023 Data'!$A$4:$A$49,'January 2023 Data'!$H$4:$H$49,,0)</f>
        <v>182</v>
      </c>
      <c r="V9">
        <f t="shared" si="7"/>
        <v>0</v>
      </c>
      <c r="W9" s="22" t="s">
        <v>221</v>
      </c>
      <c r="X9" t="str">
        <f t="shared" si="8"/>
        <v>Daieisho, 9-4</v>
      </c>
      <c r="Y9">
        <v>4</v>
      </c>
      <c r="Z9">
        <f t="shared" si="9"/>
        <v>0</v>
      </c>
    </row>
    <row r="10" spans="1:28" ht="62.5">
      <c r="A10" s="1" t="s">
        <v>114</v>
      </c>
      <c r="B10" s="1"/>
      <c r="C10" s="1" t="s">
        <v>31</v>
      </c>
      <c r="D10" s="1" t="s">
        <v>31</v>
      </c>
      <c r="E10" s="1" t="s">
        <v>31</v>
      </c>
      <c r="F10" s="1" t="s">
        <v>31</v>
      </c>
      <c r="G10" s="1" t="s">
        <v>42</v>
      </c>
      <c r="H10" s="1">
        <f>_xlfn.XLOOKUP(G10,'rank lookup'!$A$1:$A$21,'rank lookup'!$B$1:$B$21,,0)</f>
        <v>4</v>
      </c>
      <c r="I10" s="1" t="s">
        <v>242</v>
      </c>
      <c r="J10" s="19">
        <v>182</v>
      </c>
      <c r="K10" s="19">
        <v>132</v>
      </c>
      <c r="L10" s="5">
        <f t="shared" si="0"/>
        <v>39.850259630479414</v>
      </c>
      <c r="M10" s="4">
        <f t="shared" si="1"/>
        <v>71.653543307086608</v>
      </c>
      <c r="N10">
        <f t="shared" si="2"/>
        <v>5</v>
      </c>
      <c r="O10">
        <f t="shared" si="3"/>
        <v>11.7</v>
      </c>
      <c r="P10" t="str">
        <f t="shared" si="4"/>
        <v>5' 11.7"</v>
      </c>
      <c r="Q10">
        <f t="shared" si="5"/>
        <v>291</v>
      </c>
      <c r="R10">
        <f t="shared" si="6"/>
        <v>31</v>
      </c>
      <c r="S10">
        <f t="shared" si="6"/>
        <v>41</v>
      </c>
      <c r="T10">
        <f t="shared" si="6"/>
        <v>41</v>
      </c>
      <c r="U10">
        <f>_xlfn.XLOOKUP(A10,'January 2023 Data'!$A$4:$A$49,'January 2023 Data'!$H$4:$H$49,,0)</f>
        <v>183</v>
      </c>
      <c r="V10">
        <f t="shared" si="7"/>
        <v>-1</v>
      </c>
      <c r="W10" s="22" t="s">
        <v>222</v>
      </c>
      <c r="X10" t="str">
        <f t="shared" si="8"/>
        <v>Wakatakakage, 10-3</v>
      </c>
      <c r="Y10">
        <v>5</v>
      </c>
      <c r="Z10">
        <f t="shared" si="9"/>
        <v>0</v>
      </c>
    </row>
    <row r="11" spans="1:28">
      <c r="A11" s="1" t="s">
        <v>94</v>
      </c>
      <c r="B11" s="1"/>
      <c r="C11" s="1" t="s">
        <v>136</v>
      </c>
      <c r="D11" s="1" t="s">
        <v>132</v>
      </c>
      <c r="E11" s="1" t="s">
        <v>42</v>
      </c>
      <c r="F11" s="1" t="s">
        <v>42</v>
      </c>
      <c r="G11" s="1" t="s">
        <v>42</v>
      </c>
      <c r="H11" s="1">
        <f>_xlfn.XLOOKUP(G11,'rank lookup'!$A$1:$A$21,'rank lookup'!$B$1:$B$21,,0)</f>
        <v>4</v>
      </c>
      <c r="I11" s="1" t="s">
        <v>237</v>
      </c>
      <c r="J11" s="19">
        <v>189</v>
      </c>
      <c r="K11" s="19">
        <v>176</v>
      </c>
      <c r="L11" s="5">
        <f t="shared" si="0"/>
        <v>49.270737101424935</v>
      </c>
      <c r="M11" s="4">
        <f t="shared" si="1"/>
        <v>74.409448818897644</v>
      </c>
      <c r="N11">
        <f t="shared" si="2"/>
        <v>6</v>
      </c>
      <c r="O11">
        <f t="shared" si="3"/>
        <v>2.4</v>
      </c>
      <c r="P11" t="str">
        <f t="shared" si="4"/>
        <v>6' 2.4"</v>
      </c>
      <c r="Q11">
        <f t="shared" si="5"/>
        <v>388</v>
      </c>
      <c r="R11">
        <f t="shared" si="6"/>
        <v>9</v>
      </c>
      <c r="S11">
        <f t="shared" si="6"/>
        <v>11</v>
      </c>
      <c r="T11">
        <f t="shared" si="6"/>
        <v>15</v>
      </c>
      <c r="U11">
        <f>_xlfn.XLOOKUP(A11,'January 2023 Data'!$A$4:$A$49,'January 2023 Data'!$H$4:$H$49,,0)</f>
        <v>189</v>
      </c>
      <c r="V11">
        <f t="shared" si="7"/>
        <v>0</v>
      </c>
      <c r="W11" s="22" t="s">
        <v>223</v>
      </c>
      <c r="X11" t="str">
        <f t="shared" si="8"/>
        <v>Kotonowaka, 11-2</v>
      </c>
    </row>
    <row r="12" spans="1:28">
      <c r="A12" s="1" t="s">
        <v>109</v>
      </c>
      <c r="B12" s="1">
        <v>1</v>
      </c>
      <c r="C12" s="1" t="s">
        <v>39</v>
      </c>
      <c r="D12" s="1" t="s">
        <v>39</v>
      </c>
      <c r="E12" s="1" t="s">
        <v>31</v>
      </c>
      <c r="F12" s="1" t="s">
        <v>132</v>
      </c>
      <c r="G12" s="1" t="s">
        <v>42</v>
      </c>
      <c r="H12" s="1">
        <f>_xlfn.XLOOKUP(G12,'rank lookup'!$A$1:$A$21,'rank lookup'!$B$1:$B$21,,0)</f>
        <v>4</v>
      </c>
      <c r="I12" s="1" t="s">
        <v>239</v>
      </c>
      <c r="J12" s="19">
        <v>184</v>
      </c>
      <c r="K12" s="19">
        <v>161</v>
      </c>
      <c r="L12" s="5">
        <f t="shared" si="0"/>
        <v>47.554347826086961</v>
      </c>
      <c r="M12" s="4">
        <f t="shared" si="1"/>
        <v>72.440944881889763</v>
      </c>
      <c r="N12">
        <f t="shared" si="2"/>
        <v>6</v>
      </c>
      <c r="O12">
        <f t="shared" si="3"/>
        <v>0.4</v>
      </c>
      <c r="P12" t="str">
        <f t="shared" si="4"/>
        <v>6' 0.4"</v>
      </c>
      <c r="Q12">
        <f t="shared" si="5"/>
        <v>355</v>
      </c>
      <c r="R12">
        <f t="shared" si="6"/>
        <v>25</v>
      </c>
      <c r="S12">
        <f t="shared" si="6"/>
        <v>21</v>
      </c>
      <c r="T12">
        <f t="shared" si="6"/>
        <v>18</v>
      </c>
      <c r="U12">
        <f>_xlfn.XLOOKUP(A12,'January 2023 Data'!$A$4:$A$49,'January 2023 Data'!$H$4:$H$49,,0)</f>
        <v>183</v>
      </c>
      <c r="V12">
        <f t="shared" si="7"/>
        <v>1</v>
      </c>
      <c r="W12" s="22" t="s">
        <v>224</v>
      </c>
      <c r="X12" t="str">
        <f t="shared" si="8"/>
        <v>Shodai, 4-9</v>
      </c>
    </row>
    <row r="13" spans="1:28">
      <c r="A13" s="1" t="s">
        <v>93</v>
      </c>
      <c r="B13" s="1">
        <v>1</v>
      </c>
      <c r="C13" s="1" t="s">
        <v>42</v>
      </c>
      <c r="D13" s="1" t="s">
        <v>143</v>
      </c>
      <c r="E13" s="1" t="s">
        <v>137</v>
      </c>
      <c r="F13" s="1" t="s">
        <v>136</v>
      </c>
      <c r="G13" s="1" t="s">
        <v>132</v>
      </c>
      <c r="H13" s="1">
        <f>_xlfn.XLOOKUP(G13,'rank lookup'!$A$1:$A$21,'rank lookup'!$B$1:$B$21,,0)</f>
        <v>5</v>
      </c>
      <c r="I13" s="1" t="s">
        <v>243</v>
      </c>
      <c r="J13" s="19">
        <v>186</v>
      </c>
      <c r="K13" s="19">
        <v>158</v>
      </c>
      <c r="L13" s="5">
        <f t="shared" si="0"/>
        <v>45.670019655451505</v>
      </c>
      <c r="M13" s="4">
        <f t="shared" si="1"/>
        <v>73.228346456692918</v>
      </c>
      <c r="N13">
        <f t="shared" si="2"/>
        <v>6</v>
      </c>
      <c r="O13">
        <f t="shared" si="3"/>
        <v>1.2</v>
      </c>
      <c r="P13" t="str">
        <f t="shared" si="4"/>
        <v>6' 1.2"</v>
      </c>
      <c r="Q13">
        <f t="shared" si="5"/>
        <v>348</v>
      </c>
      <c r="R13">
        <f t="shared" si="6"/>
        <v>19</v>
      </c>
      <c r="S13">
        <f t="shared" si="6"/>
        <v>23</v>
      </c>
      <c r="T13">
        <f t="shared" si="6"/>
        <v>24</v>
      </c>
      <c r="U13">
        <f>_xlfn.XLOOKUP(A13,'January 2023 Data'!$A$4:$A$49,'January 2023 Data'!$H$4:$H$49,,0)</f>
        <v>187</v>
      </c>
      <c r="V13">
        <f t="shared" si="7"/>
        <v>-1</v>
      </c>
      <c r="W13" s="22" t="s">
        <v>225</v>
      </c>
      <c r="X13" t="str">
        <f t="shared" si="8"/>
        <v>Abi, 8-5</v>
      </c>
    </row>
    <row r="14" spans="1:28">
      <c r="A14" s="1" t="s">
        <v>133</v>
      </c>
      <c r="C14" t="s">
        <v>132</v>
      </c>
      <c r="D14" s="1" t="s">
        <v>137</v>
      </c>
      <c r="E14" s="1" t="s">
        <v>137</v>
      </c>
      <c r="F14" s="1" t="s">
        <v>140</v>
      </c>
      <c r="G14" s="1" t="s">
        <v>132</v>
      </c>
      <c r="H14" s="1">
        <f>_xlfn.XLOOKUP(G14,'rank lookup'!$A$1:$A$21,'rank lookup'!$B$1:$B$21,,0)</f>
        <v>5</v>
      </c>
      <c r="I14" s="1" t="s">
        <v>241</v>
      </c>
      <c r="J14" s="19">
        <v>171</v>
      </c>
      <c r="K14" s="19">
        <v>116</v>
      </c>
      <c r="L14" s="5">
        <f t="shared" si="0"/>
        <v>39.670325912246504</v>
      </c>
      <c r="M14" s="4">
        <f t="shared" si="1"/>
        <v>67.322834645669289</v>
      </c>
      <c r="N14">
        <f t="shared" si="2"/>
        <v>5</v>
      </c>
      <c r="O14">
        <f t="shared" si="3"/>
        <v>7.3</v>
      </c>
      <c r="P14" t="str">
        <f t="shared" si="4"/>
        <v>5' 7.3"</v>
      </c>
      <c r="Q14">
        <f t="shared" si="5"/>
        <v>256</v>
      </c>
      <c r="R14">
        <f t="shared" si="6"/>
        <v>42</v>
      </c>
      <c r="S14">
        <f t="shared" si="6"/>
        <v>42</v>
      </c>
      <c r="T14">
        <f t="shared" si="6"/>
        <v>42</v>
      </c>
      <c r="U14">
        <f>_xlfn.XLOOKUP(A14,'January 2023 Data'!$A$4:$A$49,'January 2023 Data'!$H$4:$H$49,,0)</f>
        <v>171</v>
      </c>
      <c r="V14">
        <f t="shared" si="7"/>
        <v>0</v>
      </c>
      <c r="W14" s="22" t="s">
        <v>226</v>
      </c>
      <c r="X14" t="str">
        <f t="shared" si="8"/>
        <v>Midorifuji, 3-10</v>
      </c>
    </row>
    <row r="15" spans="1:28">
      <c r="A15" s="1" t="s">
        <v>99</v>
      </c>
      <c r="B15" s="1"/>
      <c r="C15" s="1" t="s">
        <v>141</v>
      </c>
      <c r="D15" s="1" t="s">
        <v>135</v>
      </c>
      <c r="E15" s="1" t="s">
        <v>143</v>
      </c>
      <c r="F15" s="1" t="s">
        <v>141</v>
      </c>
      <c r="G15" s="1" t="s">
        <v>136</v>
      </c>
      <c r="H15" s="1">
        <f>_xlfn.XLOOKUP(G15,'rank lookup'!$A$1:$A$21,'rank lookup'!$B$1:$B$21,,0)</f>
        <v>6</v>
      </c>
      <c r="I15" s="1" t="s">
        <v>244</v>
      </c>
      <c r="J15" s="19">
        <v>184</v>
      </c>
      <c r="K15" s="19">
        <v>150</v>
      </c>
      <c r="L15" s="5">
        <f t="shared" si="0"/>
        <v>44.305293005671075</v>
      </c>
      <c r="M15" s="4">
        <f t="shared" si="1"/>
        <v>72.440944881889763</v>
      </c>
      <c r="N15">
        <f t="shared" si="2"/>
        <v>6</v>
      </c>
      <c r="O15">
        <f t="shared" si="3"/>
        <v>0.4</v>
      </c>
      <c r="P15" t="str">
        <f t="shared" si="4"/>
        <v>6' 0.4"</v>
      </c>
      <c r="Q15">
        <f t="shared" si="5"/>
        <v>331</v>
      </c>
      <c r="R15">
        <f t="shared" si="6"/>
        <v>25</v>
      </c>
      <c r="S15">
        <f t="shared" si="6"/>
        <v>29</v>
      </c>
      <c r="T15">
        <f t="shared" si="6"/>
        <v>27</v>
      </c>
      <c r="U15">
        <f>_xlfn.XLOOKUP(A15,'January 2023 Data'!$A$4:$A$49,'January 2023 Data'!$H$4:$H$49,,0)</f>
        <v>183</v>
      </c>
      <c r="V15">
        <f t="shared" si="7"/>
        <v>1</v>
      </c>
      <c r="W15" s="22" t="s">
        <v>225</v>
      </c>
      <c r="X15" t="str">
        <f t="shared" si="8"/>
        <v>Endo, 8-5</v>
      </c>
    </row>
    <row r="16" spans="1:28">
      <c r="A16" s="1" t="s">
        <v>96</v>
      </c>
      <c r="B16" s="1"/>
      <c r="C16" s="1" t="s">
        <v>139</v>
      </c>
      <c r="D16" s="1" t="s">
        <v>132</v>
      </c>
      <c r="E16" s="1" t="s">
        <v>31</v>
      </c>
      <c r="F16" s="1" t="s">
        <v>135</v>
      </c>
      <c r="G16" s="1" t="s">
        <v>136</v>
      </c>
      <c r="H16" s="1">
        <f>_xlfn.XLOOKUP(G16,'rank lookup'!$A$1:$A$21,'rank lookup'!$B$1:$B$21,,0)</f>
        <v>6</v>
      </c>
      <c r="I16" s="1" t="s">
        <v>245</v>
      </c>
      <c r="J16" s="19">
        <v>188</v>
      </c>
      <c r="K16" s="19">
        <v>183</v>
      </c>
      <c r="L16" s="5">
        <f t="shared" si="0"/>
        <v>51.776822091444096</v>
      </c>
      <c r="M16" s="4">
        <f t="shared" si="1"/>
        <v>74.015748031496059</v>
      </c>
      <c r="N16">
        <f t="shared" si="2"/>
        <v>6</v>
      </c>
      <c r="O16">
        <f t="shared" si="3"/>
        <v>2</v>
      </c>
      <c r="P16" t="str">
        <f t="shared" si="4"/>
        <v>6' 2"</v>
      </c>
      <c r="Q16">
        <f t="shared" si="5"/>
        <v>403</v>
      </c>
      <c r="R16">
        <f t="shared" si="6"/>
        <v>13</v>
      </c>
      <c r="S16">
        <f t="shared" si="6"/>
        <v>7</v>
      </c>
      <c r="T16">
        <f t="shared" si="6"/>
        <v>9</v>
      </c>
      <c r="U16">
        <f>_xlfn.XLOOKUP(A16,'January 2023 Data'!$A$4:$A$49,'January 2023 Data'!$H$4:$H$49,,0)</f>
        <v>186</v>
      </c>
      <c r="V16">
        <f t="shared" si="7"/>
        <v>2</v>
      </c>
      <c r="W16" s="22" t="s">
        <v>227</v>
      </c>
      <c r="X16" t="str">
        <f t="shared" si="8"/>
        <v>Takayasu, 8-12</v>
      </c>
    </row>
    <row r="17" spans="1:24">
      <c r="A17" s="1" t="s">
        <v>124</v>
      </c>
      <c r="B17" s="1"/>
      <c r="C17" s="1" t="s">
        <v>132</v>
      </c>
      <c r="D17" s="1" t="s">
        <v>42</v>
      </c>
      <c r="E17" s="1" t="s">
        <v>132</v>
      </c>
      <c r="F17" s="1" t="s">
        <v>42</v>
      </c>
      <c r="G17" s="1" t="s">
        <v>137</v>
      </c>
      <c r="H17" s="1">
        <f>_xlfn.XLOOKUP(G17,'rank lookup'!$A$1:$A$21,'rank lookup'!$B$1:$B$21,,0)</f>
        <v>7</v>
      </c>
      <c r="I17" s="1" t="s">
        <v>243</v>
      </c>
      <c r="J17" s="19">
        <v>174</v>
      </c>
      <c r="K17" s="19">
        <v>135</v>
      </c>
      <c r="L17" s="5">
        <f t="shared" si="0"/>
        <v>44.589774078478001</v>
      </c>
      <c r="M17" s="4">
        <f t="shared" si="1"/>
        <v>68.503937007874015</v>
      </c>
      <c r="N17">
        <f t="shared" si="2"/>
        <v>5</v>
      </c>
      <c r="O17">
        <f t="shared" si="3"/>
        <v>8.5</v>
      </c>
      <c r="P17" t="str">
        <f t="shared" si="4"/>
        <v>5' 8.5"</v>
      </c>
      <c r="Q17">
        <f t="shared" si="5"/>
        <v>298</v>
      </c>
      <c r="R17">
        <f t="shared" si="6"/>
        <v>41</v>
      </c>
      <c r="S17">
        <f t="shared" si="6"/>
        <v>38</v>
      </c>
      <c r="T17">
        <f t="shared" si="6"/>
        <v>25</v>
      </c>
      <c r="U17">
        <f>_xlfn.XLOOKUP(A17,'January 2023 Data'!$A$4:$A$49,'January 2023 Data'!$H$4:$H$49,,0)</f>
        <v>174</v>
      </c>
      <c r="V17">
        <f t="shared" si="7"/>
        <v>0</v>
      </c>
      <c r="W17" s="22" t="s">
        <v>224</v>
      </c>
      <c r="X17" t="str">
        <f t="shared" si="8"/>
        <v>Tobizaru, 4-9</v>
      </c>
    </row>
    <row r="18" spans="1:24">
      <c r="A18" t="s">
        <v>144</v>
      </c>
      <c r="C18" s="1" t="s">
        <v>145</v>
      </c>
      <c r="D18" s="1" t="s">
        <v>140</v>
      </c>
      <c r="E18" s="1" t="s">
        <v>139</v>
      </c>
      <c r="F18" s="1" t="s">
        <v>145</v>
      </c>
      <c r="G18" s="1" t="s">
        <v>137</v>
      </c>
      <c r="H18" s="1">
        <f>_xlfn.XLOOKUP(G18,'rank lookup'!$A$1:$A$21,'rank lookup'!$B$1:$B$21,,0)</f>
        <v>7</v>
      </c>
      <c r="I18" s="1" t="s">
        <v>241</v>
      </c>
      <c r="J18" s="19">
        <v>184</v>
      </c>
      <c r="K18" s="19">
        <v>149</v>
      </c>
      <c r="L18" s="5">
        <f t="shared" si="0"/>
        <v>44.009924385633276</v>
      </c>
      <c r="M18" s="4">
        <f t="shared" si="1"/>
        <v>72.440944881889763</v>
      </c>
      <c r="N18">
        <f t="shared" si="2"/>
        <v>6</v>
      </c>
      <c r="O18">
        <f t="shared" si="3"/>
        <v>0.4</v>
      </c>
      <c r="P18" t="str">
        <f t="shared" si="4"/>
        <v>6' 0.4"</v>
      </c>
      <c r="Q18">
        <f t="shared" si="5"/>
        <v>328</v>
      </c>
      <c r="R18">
        <f t="shared" si="6"/>
        <v>25</v>
      </c>
      <c r="S18">
        <f t="shared" si="6"/>
        <v>30</v>
      </c>
      <c r="T18">
        <f t="shared" si="6"/>
        <v>30</v>
      </c>
      <c r="U18">
        <f>_xlfn.XLOOKUP(A18,'January 2023 Data'!$A$4:$A$49,'January 2023 Data'!$H$4:$H$49,,0)</f>
        <v>184</v>
      </c>
      <c r="V18">
        <f t="shared" si="7"/>
        <v>0</v>
      </c>
      <c r="W18" s="22" t="s">
        <v>224</v>
      </c>
      <c r="X18" t="str">
        <f t="shared" si="8"/>
        <v>Nishikifuji, 4-9</v>
      </c>
    </row>
    <row r="19" spans="1:24">
      <c r="A19" s="1" t="s">
        <v>138</v>
      </c>
      <c r="C19" s="1" t="s">
        <v>139</v>
      </c>
      <c r="D19" s="1" t="s">
        <v>141</v>
      </c>
      <c r="E19" s="1" t="s">
        <v>140</v>
      </c>
      <c r="F19" s="1" t="s">
        <v>137</v>
      </c>
      <c r="G19" s="1" t="s">
        <v>139</v>
      </c>
      <c r="H19" s="1">
        <f>_xlfn.XLOOKUP(G19,'rank lookup'!$A$1:$A$21,'rank lookup'!$B$1:$B$21,,0)</f>
        <v>8</v>
      </c>
      <c r="I19" s="1" t="s">
        <v>237</v>
      </c>
      <c r="J19" s="19">
        <v>185</v>
      </c>
      <c r="K19" s="19">
        <v>180</v>
      </c>
      <c r="L19" s="5">
        <f t="shared" si="0"/>
        <v>52.593133674214762</v>
      </c>
      <c r="M19" s="4">
        <f t="shared" si="1"/>
        <v>72.834645669291348</v>
      </c>
      <c r="N19">
        <f t="shared" si="2"/>
        <v>6</v>
      </c>
      <c r="O19">
        <f t="shared" si="3"/>
        <v>0.8</v>
      </c>
      <c r="P19" t="str">
        <f t="shared" si="4"/>
        <v>6' 0.8"</v>
      </c>
      <c r="Q19">
        <f t="shared" si="5"/>
        <v>397</v>
      </c>
      <c r="R19">
        <f t="shared" si="6"/>
        <v>22</v>
      </c>
      <c r="S19">
        <f t="shared" si="6"/>
        <v>9</v>
      </c>
      <c r="T19">
        <f t="shared" si="6"/>
        <v>8</v>
      </c>
      <c r="U19">
        <f>_xlfn.XLOOKUP(A19,'January 2023 Data'!$A$4:$A$49,'January 2023 Data'!$H$4:$H$49,,0)</f>
        <v>184</v>
      </c>
      <c r="V19">
        <f t="shared" si="7"/>
        <v>1</v>
      </c>
      <c r="W19" s="22" t="s">
        <v>224</v>
      </c>
      <c r="X19" t="str">
        <f t="shared" si="8"/>
        <v>Nishikigi, 4-9</v>
      </c>
    </row>
    <row r="20" spans="1:24">
      <c r="A20" s="1" t="s">
        <v>121</v>
      </c>
      <c r="B20" s="1"/>
      <c r="C20" s="1" t="s">
        <v>137</v>
      </c>
      <c r="D20" s="1" t="s">
        <v>137</v>
      </c>
      <c r="E20" s="1" t="s">
        <v>135</v>
      </c>
      <c r="F20" s="1" t="s">
        <v>142</v>
      </c>
      <c r="G20" s="1" t="s">
        <v>139</v>
      </c>
      <c r="H20" s="1">
        <f>_xlfn.XLOOKUP(G20,'rank lookup'!$A$1:$A$21,'rank lookup'!$B$1:$B$21,,0)</f>
        <v>8</v>
      </c>
      <c r="I20" s="1" t="s">
        <v>246</v>
      </c>
      <c r="J20" s="19">
        <v>175</v>
      </c>
      <c r="K20" s="19">
        <v>143</v>
      </c>
      <c r="L20" s="5">
        <f t="shared" si="0"/>
        <v>46.693877551020407</v>
      </c>
      <c r="M20" s="4">
        <f t="shared" si="1"/>
        <v>68.897637795275585</v>
      </c>
      <c r="N20">
        <f t="shared" si="2"/>
        <v>5</v>
      </c>
      <c r="O20">
        <f t="shared" si="3"/>
        <v>8.9</v>
      </c>
      <c r="P20" t="str">
        <f t="shared" si="4"/>
        <v>5' 8.9"</v>
      </c>
      <c r="Q20">
        <f t="shared" si="5"/>
        <v>315</v>
      </c>
      <c r="R20">
        <f t="shared" si="6"/>
        <v>39</v>
      </c>
      <c r="S20">
        <f t="shared" si="6"/>
        <v>33</v>
      </c>
      <c r="T20">
        <f t="shared" si="6"/>
        <v>22</v>
      </c>
      <c r="U20">
        <f>_xlfn.XLOOKUP(A20,'January 2023 Data'!$A$4:$A$49,'January 2023 Data'!$H$4:$H$49,,0)</f>
        <v>175</v>
      </c>
      <c r="V20">
        <f t="shared" si="7"/>
        <v>0</v>
      </c>
      <c r="W20" t="s">
        <v>218</v>
      </c>
      <c r="X20" t="str">
        <f t="shared" si="8"/>
        <v>Ura, OUT</v>
      </c>
    </row>
    <row r="21" spans="1:24">
      <c r="A21" t="s">
        <v>146</v>
      </c>
      <c r="C21" s="1" t="s">
        <v>147</v>
      </c>
      <c r="D21" s="1" t="s">
        <v>147</v>
      </c>
      <c r="E21" s="1" t="s">
        <v>150</v>
      </c>
      <c r="F21" s="1" t="s">
        <v>140</v>
      </c>
      <c r="G21" s="1" t="s">
        <v>140</v>
      </c>
      <c r="H21" s="1">
        <f>_xlfn.XLOOKUP(G21,'rank lookup'!$A$1:$A$21,'rank lookup'!$B$1:$B$21,,0)</f>
        <v>9</v>
      </c>
      <c r="I21" s="1" t="s">
        <v>247</v>
      </c>
      <c r="J21" s="19">
        <v>191</v>
      </c>
      <c r="K21" s="19">
        <v>161</v>
      </c>
      <c r="L21" s="5">
        <f t="shared" si="0"/>
        <v>44.13256215564266</v>
      </c>
      <c r="M21" s="4">
        <f t="shared" si="1"/>
        <v>75.196850393700785</v>
      </c>
      <c r="N21">
        <f t="shared" si="2"/>
        <v>6</v>
      </c>
      <c r="O21">
        <f t="shared" si="3"/>
        <v>3.2</v>
      </c>
      <c r="P21" t="str">
        <f t="shared" si="4"/>
        <v>6' 3.2"</v>
      </c>
      <c r="Q21">
        <f t="shared" si="5"/>
        <v>355</v>
      </c>
      <c r="R21">
        <f t="shared" si="6"/>
        <v>5</v>
      </c>
      <c r="S21">
        <f t="shared" si="6"/>
        <v>21</v>
      </c>
      <c r="T21">
        <f t="shared" si="6"/>
        <v>29</v>
      </c>
      <c r="U21">
        <f>_xlfn.XLOOKUP(A21,'January 2023 Data'!$A$4:$A$49,'January 2023 Data'!$H$4:$H$49,,0)</f>
        <v>189</v>
      </c>
      <c r="V21">
        <f t="shared" si="7"/>
        <v>2</v>
      </c>
      <c r="W21" s="22" t="s">
        <v>222</v>
      </c>
      <c r="X21" t="str">
        <f t="shared" si="8"/>
        <v>Kotoshoho, 10-3</v>
      </c>
    </row>
    <row r="22" spans="1:24">
      <c r="A22" s="1" t="s">
        <v>189</v>
      </c>
      <c r="F22" t="s">
        <v>151</v>
      </c>
      <c r="G22" t="s">
        <v>140</v>
      </c>
      <c r="H22" s="1">
        <f>_xlfn.XLOOKUP(G22,'rank lookup'!$A$1:$A$21,'rank lookup'!$B$1:$B$21,,0)</f>
        <v>9</v>
      </c>
      <c r="I22" s="1" t="s">
        <v>248</v>
      </c>
      <c r="J22" s="19">
        <v>192</v>
      </c>
      <c r="K22" s="19">
        <v>181</v>
      </c>
      <c r="L22" s="5">
        <f t="shared" si="0"/>
        <v>49.099392361111107</v>
      </c>
      <c r="M22" s="4">
        <f t="shared" si="1"/>
        <v>75.59055118110237</v>
      </c>
      <c r="N22">
        <f t="shared" si="2"/>
        <v>6</v>
      </c>
      <c r="O22">
        <f t="shared" si="3"/>
        <v>3.6</v>
      </c>
      <c r="P22" t="str">
        <f t="shared" si="4"/>
        <v>6' 3.6"</v>
      </c>
      <c r="Q22">
        <f t="shared" si="5"/>
        <v>399</v>
      </c>
      <c r="R22">
        <f t="shared" si="6"/>
        <v>3</v>
      </c>
      <c r="S22">
        <f t="shared" si="6"/>
        <v>8</v>
      </c>
      <c r="T22">
        <f t="shared" si="6"/>
        <v>16</v>
      </c>
      <c r="U22" t="e">
        <f>_xlfn.XLOOKUP(A22,'January 2023 Data'!$A$4:$A$49,'January 2023 Data'!$H$4:$H$49,,0)</f>
        <v>#N/A</v>
      </c>
      <c r="V22" t="e">
        <f t="shared" si="7"/>
        <v>#N/A</v>
      </c>
      <c r="W22" s="22" t="s">
        <v>228</v>
      </c>
      <c r="X22" t="str">
        <f t="shared" si="8"/>
        <v>Kinbozan, 5-8</v>
      </c>
    </row>
    <row r="23" spans="1:24">
      <c r="A23" s="1" t="s">
        <v>116</v>
      </c>
      <c r="B23" s="1">
        <v>2</v>
      </c>
      <c r="C23" s="1" t="s">
        <v>39</v>
      </c>
      <c r="D23" s="1" t="s">
        <v>31</v>
      </c>
      <c r="E23" s="1" t="s">
        <v>136</v>
      </c>
      <c r="F23" s="1" t="s">
        <v>137</v>
      </c>
      <c r="G23" s="1" t="s">
        <v>141</v>
      </c>
      <c r="H23" s="1">
        <f>_xlfn.XLOOKUP(G23,'rank lookup'!$A$1:$A$21,'rank lookup'!$B$1:$B$21,,0)</f>
        <v>10</v>
      </c>
      <c r="I23" s="1" t="s">
        <v>244</v>
      </c>
      <c r="J23" s="19">
        <v>179</v>
      </c>
      <c r="K23" s="19">
        <v>170</v>
      </c>
      <c r="L23" s="5">
        <f t="shared" si="0"/>
        <v>53.057020692238069</v>
      </c>
      <c r="M23" s="4">
        <f t="shared" si="1"/>
        <v>70.472440944881896</v>
      </c>
      <c r="N23">
        <f t="shared" si="2"/>
        <v>5</v>
      </c>
      <c r="O23">
        <f t="shared" si="3"/>
        <v>10.5</v>
      </c>
      <c r="P23" t="str">
        <f t="shared" si="4"/>
        <v>5' 10.5"</v>
      </c>
      <c r="Q23">
        <f t="shared" si="5"/>
        <v>375</v>
      </c>
      <c r="R23">
        <f t="shared" si="6"/>
        <v>35</v>
      </c>
      <c r="S23">
        <f t="shared" si="6"/>
        <v>15</v>
      </c>
      <c r="T23">
        <f t="shared" si="6"/>
        <v>6</v>
      </c>
      <c r="U23">
        <f>_xlfn.XLOOKUP(A23,'January 2023 Data'!$A$4:$A$49,'January 2023 Data'!$H$4:$H$49,,0)</f>
        <v>179</v>
      </c>
      <c r="V23">
        <f t="shared" si="7"/>
        <v>0</v>
      </c>
      <c r="W23" s="22" t="s">
        <v>228</v>
      </c>
      <c r="X23" t="str">
        <f t="shared" si="8"/>
        <v>Mitakeumi, 5-8</v>
      </c>
    </row>
    <row r="24" spans="1:24">
      <c r="A24" s="1" t="s">
        <v>117</v>
      </c>
      <c r="B24" s="1"/>
      <c r="C24" s="1" t="s">
        <v>136</v>
      </c>
      <c r="D24" s="1" t="s">
        <v>136</v>
      </c>
      <c r="E24" s="1" t="s">
        <v>42</v>
      </c>
      <c r="F24" s="1" t="s">
        <v>139</v>
      </c>
      <c r="G24" s="1" t="s">
        <v>141</v>
      </c>
      <c r="H24" s="1">
        <f>_xlfn.XLOOKUP(G24,'rank lookup'!$A$1:$A$21,'rank lookup'!$B$1:$B$21,,0)</f>
        <v>10</v>
      </c>
      <c r="I24" s="1" t="s">
        <v>244</v>
      </c>
      <c r="J24" s="19">
        <v>180</v>
      </c>
      <c r="K24" s="19">
        <v>154</v>
      </c>
      <c r="L24" s="5">
        <f t="shared" si="0"/>
        <v>47.530864197530867</v>
      </c>
      <c r="M24" s="4">
        <f t="shared" si="1"/>
        <v>70.866141732283467</v>
      </c>
      <c r="N24">
        <f t="shared" si="2"/>
        <v>5</v>
      </c>
      <c r="O24">
        <f t="shared" si="3"/>
        <v>10.9</v>
      </c>
      <c r="P24" t="str">
        <f t="shared" si="4"/>
        <v>5' 10.9"</v>
      </c>
      <c r="Q24">
        <f t="shared" si="5"/>
        <v>340</v>
      </c>
      <c r="R24">
        <f t="shared" si="6"/>
        <v>34</v>
      </c>
      <c r="S24">
        <f t="shared" si="6"/>
        <v>28</v>
      </c>
      <c r="T24">
        <f t="shared" si="6"/>
        <v>19</v>
      </c>
      <c r="U24">
        <f>_xlfn.XLOOKUP(A24,'January 2023 Data'!$A$4:$A$49,'January 2023 Data'!$H$4:$H$49,,0)</f>
        <v>180</v>
      </c>
      <c r="V24">
        <f t="shared" si="7"/>
        <v>0</v>
      </c>
      <c r="W24" s="22" t="s">
        <v>225</v>
      </c>
      <c r="X24" t="str">
        <f t="shared" si="8"/>
        <v>Meisei, 8-5</v>
      </c>
    </row>
    <row r="25" spans="1:24">
      <c r="A25" s="1" t="s">
        <v>92</v>
      </c>
      <c r="B25" s="1">
        <v>2</v>
      </c>
      <c r="C25" s="1" t="s">
        <v>137</v>
      </c>
      <c r="D25" s="1" t="s">
        <v>42</v>
      </c>
      <c r="E25" s="1" t="s">
        <v>136</v>
      </c>
      <c r="F25" s="1" t="s">
        <v>132</v>
      </c>
      <c r="G25" s="1" t="s">
        <v>135</v>
      </c>
      <c r="H25" s="1">
        <f>_xlfn.XLOOKUP(G25,'rank lookup'!$A$1:$A$21,'rank lookup'!$B$1:$B$21,,0)</f>
        <v>11</v>
      </c>
      <c r="I25" s="1" t="s">
        <v>244</v>
      </c>
      <c r="J25" s="19">
        <v>189</v>
      </c>
      <c r="K25" s="19">
        <v>174</v>
      </c>
      <c r="L25" s="5">
        <f t="shared" si="0"/>
        <v>48.710842361636011</v>
      </c>
      <c r="M25" s="4">
        <f t="shared" si="1"/>
        <v>74.409448818897644</v>
      </c>
      <c r="N25">
        <f t="shared" si="2"/>
        <v>6</v>
      </c>
      <c r="O25">
        <f t="shared" si="3"/>
        <v>2.4</v>
      </c>
      <c r="P25" t="str">
        <f t="shared" si="4"/>
        <v>6' 2.4"</v>
      </c>
      <c r="Q25">
        <f t="shared" si="5"/>
        <v>384</v>
      </c>
      <c r="R25">
        <f t="shared" si="6"/>
        <v>9</v>
      </c>
      <c r="S25">
        <f t="shared" si="6"/>
        <v>12</v>
      </c>
      <c r="T25">
        <f t="shared" si="6"/>
        <v>17</v>
      </c>
      <c r="U25">
        <f>_xlfn.XLOOKUP(A25,'January 2023 Data'!$A$4:$A$49,'January 2023 Data'!$H$4:$H$49,,0)</f>
        <v>189</v>
      </c>
      <c r="V25">
        <f t="shared" si="7"/>
        <v>0</v>
      </c>
      <c r="W25" s="22" t="s">
        <v>225</v>
      </c>
      <c r="X25" t="str">
        <f t="shared" si="8"/>
        <v>Tamawashi, 8-5</v>
      </c>
    </row>
    <row r="26" spans="1:24">
      <c r="A26" s="1" t="s">
        <v>103</v>
      </c>
      <c r="B26" s="1"/>
      <c r="C26" s="1" t="s">
        <v>142</v>
      </c>
      <c r="D26" s="1" t="s">
        <v>140</v>
      </c>
      <c r="E26" s="1" t="s">
        <v>141</v>
      </c>
      <c r="F26" s="1" t="s">
        <v>135</v>
      </c>
      <c r="G26" s="1" t="s">
        <v>135</v>
      </c>
      <c r="H26" s="1">
        <f>_xlfn.XLOOKUP(G26,'rank lookup'!$A$1:$A$21,'rank lookup'!$B$1:$B$21,,0)</f>
        <v>11</v>
      </c>
      <c r="I26" s="1" t="s">
        <v>241</v>
      </c>
      <c r="J26" s="19">
        <v>184</v>
      </c>
      <c r="K26" s="19">
        <v>158</v>
      </c>
      <c r="L26" s="5">
        <f t="shared" si="0"/>
        <v>46.668241965973536</v>
      </c>
      <c r="M26" s="4">
        <f t="shared" si="1"/>
        <v>72.440944881889763</v>
      </c>
      <c r="N26">
        <f t="shared" si="2"/>
        <v>6</v>
      </c>
      <c r="O26">
        <f t="shared" si="3"/>
        <v>0.4</v>
      </c>
      <c r="P26" t="str">
        <f t="shared" si="4"/>
        <v>6' 0.4"</v>
      </c>
      <c r="Q26">
        <f t="shared" si="5"/>
        <v>348</v>
      </c>
      <c r="R26">
        <f t="shared" si="6"/>
        <v>25</v>
      </c>
      <c r="S26">
        <f t="shared" si="6"/>
        <v>23</v>
      </c>
      <c r="T26">
        <f t="shared" si="6"/>
        <v>23</v>
      </c>
      <c r="U26">
        <f>_xlfn.XLOOKUP(A26,'January 2023 Data'!$A$4:$A$49,'January 2023 Data'!$H$4:$H$49,,0)</f>
        <v>184</v>
      </c>
      <c r="V26">
        <f t="shared" si="7"/>
        <v>0</v>
      </c>
      <c r="W26" s="22" t="s">
        <v>220</v>
      </c>
      <c r="X26" t="str">
        <f t="shared" si="8"/>
        <v>Hokutofuji, 7-6</v>
      </c>
    </row>
    <row r="27" spans="1:24">
      <c r="A27" s="1" t="s">
        <v>111</v>
      </c>
      <c r="B27" s="1"/>
      <c r="C27" s="1" t="s">
        <v>140</v>
      </c>
      <c r="D27" s="1" t="s">
        <v>139</v>
      </c>
      <c r="E27" s="1" t="s">
        <v>139</v>
      </c>
      <c r="F27" s="1" t="s">
        <v>141</v>
      </c>
      <c r="G27" s="1" t="s">
        <v>142</v>
      </c>
      <c r="H27" s="1">
        <f>_xlfn.XLOOKUP(G27,'rank lookup'!$A$1:$A$21,'rank lookup'!$B$1:$B$21,,0)</f>
        <v>12</v>
      </c>
      <c r="I27" s="1" t="s">
        <v>244</v>
      </c>
      <c r="J27" s="19">
        <v>182</v>
      </c>
      <c r="K27" s="19">
        <v>142</v>
      </c>
      <c r="L27" s="5">
        <f t="shared" si="0"/>
        <v>42.869218693394522</v>
      </c>
      <c r="M27" s="4">
        <f t="shared" si="1"/>
        <v>71.653543307086608</v>
      </c>
      <c r="N27">
        <f t="shared" si="2"/>
        <v>5</v>
      </c>
      <c r="O27">
        <f t="shared" si="3"/>
        <v>11.7</v>
      </c>
      <c r="P27" t="str">
        <f t="shared" si="4"/>
        <v>5' 11.7"</v>
      </c>
      <c r="Q27">
        <f t="shared" si="5"/>
        <v>313</v>
      </c>
      <c r="R27">
        <f t="shared" si="6"/>
        <v>31</v>
      </c>
      <c r="S27">
        <f t="shared" si="6"/>
        <v>35</v>
      </c>
      <c r="T27">
        <f t="shared" si="6"/>
        <v>34</v>
      </c>
      <c r="U27">
        <f>_xlfn.XLOOKUP(A27,'January 2023 Data'!$A$4:$A$49,'January 2023 Data'!$H$4:$H$49,,0)</f>
        <v>182</v>
      </c>
      <c r="V27">
        <f t="shared" si="7"/>
        <v>0</v>
      </c>
      <c r="W27" s="22" t="s">
        <v>220</v>
      </c>
      <c r="X27" t="str">
        <f t="shared" si="8"/>
        <v>Sadanoumi, 7-6</v>
      </c>
    </row>
    <row r="28" spans="1:24">
      <c r="A28" s="1" t="s">
        <v>101</v>
      </c>
      <c r="B28" s="1"/>
      <c r="C28" s="1" t="s">
        <v>145</v>
      </c>
      <c r="D28" s="1" t="s">
        <v>143</v>
      </c>
      <c r="E28" s="1" t="s">
        <v>143</v>
      </c>
      <c r="F28" s="1" t="s">
        <v>147</v>
      </c>
      <c r="G28" s="1" t="s">
        <v>142</v>
      </c>
      <c r="H28" s="1">
        <f>_xlfn.XLOOKUP(G28,'rank lookup'!$A$1:$A$21,'rank lookup'!$B$1:$B$21,,0)</f>
        <v>12</v>
      </c>
      <c r="I28" s="1" t="s">
        <v>238</v>
      </c>
      <c r="J28" s="19">
        <v>183</v>
      </c>
      <c r="K28" s="19">
        <v>170</v>
      </c>
      <c r="L28" s="5">
        <f t="shared" si="0"/>
        <v>50.762937083818564</v>
      </c>
      <c r="M28" s="4">
        <f t="shared" si="1"/>
        <v>72.047244094488192</v>
      </c>
      <c r="N28">
        <f t="shared" si="2"/>
        <v>6</v>
      </c>
      <c r="O28">
        <f t="shared" si="3"/>
        <v>0</v>
      </c>
      <c r="P28" t="str">
        <f t="shared" si="4"/>
        <v>6' 0"</v>
      </c>
      <c r="Q28">
        <f t="shared" si="5"/>
        <v>375</v>
      </c>
      <c r="R28">
        <f t="shared" si="6"/>
        <v>30</v>
      </c>
      <c r="S28">
        <f t="shared" si="6"/>
        <v>15</v>
      </c>
      <c r="T28">
        <f t="shared" si="6"/>
        <v>11</v>
      </c>
      <c r="U28">
        <f>_xlfn.XLOOKUP(A28,'January 2023 Data'!$A$4:$A$49,'January 2023 Data'!$H$4:$H$49,,0)</f>
        <v>184</v>
      </c>
      <c r="V28">
        <f t="shared" si="7"/>
        <v>-1</v>
      </c>
      <c r="W28" s="22" t="s">
        <v>224</v>
      </c>
      <c r="X28" t="str">
        <f t="shared" si="8"/>
        <v>Takanosho, 4-9</v>
      </c>
    </row>
    <row r="29" spans="1:24">
      <c r="A29" s="1" t="s">
        <v>120</v>
      </c>
      <c r="B29" s="1"/>
      <c r="C29" s="1" t="s">
        <v>135</v>
      </c>
      <c r="D29" s="1" t="s">
        <v>147</v>
      </c>
      <c r="E29" s="1" t="s">
        <v>142</v>
      </c>
      <c r="F29" s="1" t="s">
        <v>139</v>
      </c>
      <c r="G29" s="1" t="s">
        <v>143</v>
      </c>
      <c r="H29" s="1">
        <f>_xlfn.XLOOKUP(G29,'rank lookup'!$A$1:$A$21,'rank lookup'!$B$1:$B$21,,0)</f>
        <v>13</v>
      </c>
      <c r="I29" s="1" t="s">
        <v>239</v>
      </c>
      <c r="J29" s="19">
        <v>177</v>
      </c>
      <c r="K29" s="19">
        <v>165</v>
      </c>
      <c r="L29" s="5">
        <f t="shared" si="0"/>
        <v>52.666858182514609</v>
      </c>
      <c r="M29" s="4">
        <f t="shared" si="1"/>
        <v>69.685039370078741</v>
      </c>
      <c r="N29">
        <f t="shared" si="2"/>
        <v>5</v>
      </c>
      <c r="O29">
        <f t="shared" si="3"/>
        <v>9.6999999999999993</v>
      </c>
      <c r="P29" t="str">
        <f t="shared" si="4"/>
        <v>5' 9.7"</v>
      </c>
      <c r="Q29">
        <f t="shared" si="5"/>
        <v>364</v>
      </c>
      <c r="R29">
        <f t="shared" si="6"/>
        <v>36</v>
      </c>
      <c r="S29">
        <f t="shared" si="6"/>
        <v>18</v>
      </c>
      <c r="T29">
        <f t="shared" si="6"/>
        <v>7</v>
      </c>
      <c r="U29">
        <f>_xlfn.XLOOKUP(A29,'January 2023 Data'!$A$4:$A$49,'January 2023 Data'!$H$4:$H$49,,0)</f>
        <v>178</v>
      </c>
      <c r="V29">
        <f t="shared" si="7"/>
        <v>-1</v>
      </c>
      <c r="W29" s="22" t="s">
        <v>228</v>
      </c>
      <c r="X29" t="str">
        <f t="shared" si="8"/>
        <v>Onosho, 5-8</v>
      </c>
    </row>
    <row r="30" spans="1:24">
      <c r="A30" t="s">
        <v>155</v>
      </c>
      <c r="C30" s="1" t="s">
        <v>154</v>
      </c>
      <c r="D30" s="1" t="s">
        <v>154</v>
      </c>
      <c r="E30" s="1" t="s">
        <v>145</v>
      </c>
      <c r="F30" s="1" t="s">
        <v>143</v>
      </c>
      <c r="G30" s="1" t="s">
        <v>143</v>
      </c>
      <c r="H30" s="1">
        <f>_xlfn.XLOOKUP(G30,'rank lookup'!$A$1:$A$21,'rank lookup'!$B$1:$B$21,,0)</f>
        <v>13</v>
      </c>
      <c r="I30" s="1" t="s">
        <v>244</v>
      </c>
      <c r="J30" s="19">
        <v>177</v>
      </c>
      <c r="K30" s="19">
        <v>135</v>
      </c>
      <c r="L30" s="5">
        <f t="shared" si="0"/>
        <v>43.091065785693765</v>
      </c>
      <c r="M30" s="4">
        <f t="shared" si="1"/>
        <v>69.685039370078741</v>
      </c>
      <c r="N30">
        <f t="shared" si="2"/>
        <v>5</v>
      </c>
      <c r="O30">
        <f t="shared" si="3"/>
        <v>9.6999999999999993</v>
      </c>
      <c r="P30" t="str">
        <f t="shared" si="4"/>
        <v>5' 9.7"</v>
      </c>
      <c r="Q30">
        <f t="shared" si="5"/>
        <v>298</v>
      </c>
      <c r="R30">
        <f t="shared" si="6"/>
        <v>36</v>
      </c>
      <c r="S30">
        <f t="shared" si="6"/>
        <v>38</v>
      </c>
      <c r="T30">
        <f t="shared" si="6"/>
        <v>32</v>
      </c>
      <c r="U30">
        <f>_xlfn.XLOOKUP(A30,'January 2023 Data'!$A$4:$A$49,'January 2023 Data'!$H$4:$H$49,,0)</f>
        <v>178</v>
      </c>
      <c r="V30">
        <f t="shared" si="7"/>
        <v>-1</v>
      </c>
      <c r="W30" s="22" t="s">
        <v>229</v>
      </c>
      <c r="X30" t="str">
        <f t="shared" si="8"/>
        <v>Hiradoumi, 6-7</v>
      </c>
    </row>
    <row r="31" spans="1:24">
      <c r="A31" t="s">
        <v>149</v>
      </c>
      <c r="C31" s="1" t="s">
        <v>148</v>
      </c>
      <c r="D31" s="1" t="s">
        <v>141</v>
      </c>
      <c r="E31" s="1" t="s">
        <v>140</v>
      </c>
      <c r="F31" s="1" t="s">
        <v>136</v>
      </c>
      <c r="G31" s="1" t="s">
        <v>145</v>
      </c>
      <c r="H31" s="1">
        <f>_xlfn.XLOOKUP(G31,'rank lookup'!$A$1:$A$21,'rank lookup'!$B$1:$B$21,,0)</f>
        <v>14</v>
      </c>
      <c r="I31" s="1" t="s">
        <v>239</v>
      </c>
      <c r="J31" s="20">
        <v>188</v>
      </c>
      <c r="K31" s="19">
        <v>155</v>
      </c>
      <c r="L31" s="5">
        <f t="shared" si="0"/>
        <v>43.854685377999097</v>
      </c>
      <c r="M31" s="4">
        <f t="shared" si="1"/>
        <v>74.015748031496059</v>
      </c>
      <c r="N31">
        <f t="shared" si="2"/>
        <v>6</v>
      </c>
      <c r="O31">
        <f t="shared" si="3"/>
        <v>2</v>
      </c>
      <c r="P31" t="str">
        <f t="shared" si="4"/>
        <v>6' 2"</v>
      </c>
      <c r="Q31">
        <f t="shared" si="5"/>
        <v>342</v>
      </c>
      <c r="R31">
        <f t="shared" si="6"/>
        <v>13</v>
      </c>
      <c r="S31">
        <f t="shared" si="6"/>
        <v>27</v>
      </c>
      <c r="T31">
        <f t="shared" si="6"/>
        <v>31</v>
      </c>
      <c r="U31">
        <f>_xlfn.XLOOKUP(A31,'January 2023 Data'!$A$4:$A$49,'January 2023 Data'!$H$4:$H$49,,0)</f>
        <v>187</v>
      </c>
      <c r="V31">
        <f t="shared" si="7"/>
        <v>1</v>
      </c>
      <c r="W31" s="22" t="s">
        <v>225</v>
      </c>
      <c r="X31" t="str">
        <f t="shared" si="8"/>
        <v>Ryuden, 8-5</v>
      </c>
    </row>
    <row r="32" spans="1:24">
      <c r="A32" s="1" t="s">
        <v>104</v>
      </c>
      <c r="B32" s="1"/>
      <c r="C32" s="1" t="s">
        <v>140</v>
      </c>
      <c r="D32" s="1" t="s">
        <v>142</v>
      </c>
      <c r="E32" s="1" t="s">
        <v>154</v>
      </c>
      <c r="F32" s="1" t="s">
        <v>148</v>
      </c>
      <c r="G32" s="1" t="s">
        <v>145</v>
      </c>
      <c r="H32" s="1">
        <f>_xlfn.XLOOKUP(G32,'rank lookup'!$A$1:$A$21,'rank lookup'!$B$1:$B$21,,0)</f>
        <v>14</v>
      </c>
      <c r="I32" s="1" t="s">
        <v>244</v>
      </c>
      <c r="J32" s="19">
        <v>186</v>
      </c>
      <c r="K32" s="19">
        <v>171</v>
      </c>
      <c r="L32" s="5">
        <f t="shared" si="0"/>
        <v>49.427679500520291</v>
      </c>
      <c r="M32" s="4">
        <f t="shared" si="1"/>
        <v>73.228346456692918</v>
      </c>
      <c r="N32">
        <f t="shared" si="2"/>
        <v>6</v>
      </c>
      <c r="O32">
        <f t="shared" si="3"/>
        <v>1.2</v>
      </c>
      <c r="P32" t="str">
        <f t="shared" si="4"/>
        <v>6' 1.2"</v>
      </c>
      <c r="Q32">
        <f t="shared" si="5"/>
        <v>377</v>
      </c>
      <c r="R32">
        <f t="shared" si="6"/>
        <v>19</v>
      </c>
      <c r="S32">
        <f t="shared" si="6"/>
        <v>14</v>
      </c>
      <c r="T32">
        <f t="shared" si="6"/>
        <v>14</v>
      </c>
      <c r="U32">
        <f>_xlfn.XLOOKUP(A32,'January 2023 Data'!$A$4:$A$49,'January 2023 Data'!$H$4:$H$49,,0)</f>
        <v>186</v>
      </c>
      <c r="V32">
        <f t="shared" si="7"/>
        <v>0</v>
      </c>
      <c r="W32" s="22" t="s">
        <v>228</v>
      </c>
      <c r="X32" t="str">
        <f t="shared" si="8"/>
        <v>Takarafuji, 5-8</v>
      </c>
    </row>
    <row r="33" spans="1:24">
      <c r="A33" s="1" t="s">
        <v>188</v>
      </c>
      <c r="F33" t="s">
        <v>150</v>
      </c>
      <c r="G33" t="s">
        <v>147</v>
      </c>
      <c r="H33" s="1">
        <f>_xlfn.XLOOKUP(G33,'rank lookup'!$A$1:$A$21,'rank lookup'!$B$1:$B$21,,0)</f>
        <v>15</v>
      </c>
      <c r="I33" s="1" t="s">
        <v>248</v>
      </c>
      <c r="J33" s="19">
        <v>185</v>
      </c>
      <c r="K33" s="19">
        <v>196</v>
      </c>
      <c r="L33" s="5">
        <f t="shared" si="0"/>
        <v>57.268078889700504</v>
      </c>
      <c r="M33" s="4">
        <f t="shared" si="1"/>
        <v>72.834645669291348</v>
      </c>
      <c r="N33">
        <f t="shared" si="2"/>
        <v>6</v>
      </c>
      <c r="O33">
        <f t="shared" si="3"/>
        <v>0.8</v>
      </c>
      <c r="P33" t="str">
        <f t="shared" si="4"/>
        <v>6' 0.8"</v>
      </c>
      <c r="Q33">
        <f t="shared" si="5"/>
        <v>432</v>
      </c>
      <c r="R33">
        <f t="shared" si="6"/>
        <v>22</v>
      </c>
      <c r="S33">
        <f t="shared" si="6"/>
        <v>3</v>
      </c>
      <c r="T33">
        <f t="shared" si="6"/>
        <v>2</v>
      </c>
      <c r="U33" t="e">
        <f>_xlfn.XLOOKUP(A33,'January 2023 Data'!$A$4:$A$49,'January 2023 Data'!$H$4:$H$49,,0)</f>
        <v>#N/A</v>
      </c>
      <c r="V33" t="e">
        <f t="shared" si="7"/>
        <v>#N/A</v>
      </c>
      <c r="W33" s="22" t="s">
        <v>220</v>
      </c>
      <c r="X33" t="str">
        <f t="shared" si="8"/>
        <v>Daishoho, 7-6</v>
      </c>
    </row>
    <row r="34" spans="1:24">
      <c r="A34" s="1" t="s">
        <v>191</v>
      </c>
      <c r="F34" t="s">
        <v>152</v>
      </c>
      <c r="G34" t="s">
        <v>147</v>
      </c>
      <c r="H34" s="1">
        <f>_xlfn.XLOOKUP(G34,'rank lookup'!$A$1:$A$21,'rank lookup'!$B$1:$B$21,,0)</f>
        <v>15</v>
      </c>
      <c r="I34" s="1" t="s">
        <v>255</v>
      </c>
      <c r="J34" s="19">
        <v>204</v>
      </c>
      <c r="K34" s="19">
        <v>185</v>
      </c>
      <c r="L34" s="5">
        <f t="shared" si="0"/>
        <v>44.454056132256824</v>
      </c>
      <c r="M34" s="4">
        <f t="shared" si="1"/>
        <v>80.314960629921259</v>
      </c>
      <c r="N34">
        <f t="shared" si="2"/>
        <v>6</v>
      </c>
      <c r="O34">
        <f t="shared" si="3"/>
        <v>8.3000000000000007</v>
      </c>
      <c r="P34" t="str">
        <f t="shared" si="4"/>
        <v>6' 8.3"</v>
      </c>
      <c r="Q34">
        <f t="shared" si="5"/>
        <v>408</v>
      </c>
      <c r="R34">
        <f t="shared" si="6"/>
        <v>1</v>
      </c>
      <c r="S34">
        <f t="shared" si="6"/>
        <v>6</v>
      </c>
      <c r="T34">
        <f t="shared" si="6"/>
        <v>26</v>
      </c>
      <c r="U34" t="e">
        <f>_xlfn.XLOOKUP(A34,'January 2023 Data'!$A$4:$A$49,'January 2023 Data'!$H$4:$H$49,,0)</f>
        <v>#N/A</v>
      </c>
      <c r="V34" t="e">
        <f t="shared" si="7"/>
        <v>#N/A</v>
      </c>
      <c r="W34" s="22" t="s">
        <v>226</v>
      </c>
      <c r="X34" t="str">
        <f t="shared" si="8"/>
        <v>Hokuseiho, 3-10</v>
      </c>
    </row>
    <row r="35" spans="1:24">
      <c r="A35" s="1" t="s">
        <v>91</v>
      </c>
      <c r="B35" s="1"/>
      <c r="C35" s="1" t="s">
        <v>135</v>
      </c>
      <c r="D35" s="1" t="s">
        <v>145</v>
      </c>
      <c r="E35" s="1" t="s">
        <v>145</v>
      </c>
      <c r="F35" s="1" t="s">
        <v>143</v>
      </c>
      <c r="G35" s="1" t="s">
        <v>148</v>
      </c>
      <c r="H35" s="1">
        <f>_xlfn.XLOOKUP(G35,'rank lookup'!$A$1:$A$21,'rank lookup'!$B$1:$B$21,,0)</f>
        <v>16</v>
      </c>
      <c r="I35" s="1" t="s">
        <v>246</v>
      </c>
      <c r="J35" s="19">
        <v>191</v>
      </c>
      <c r="K35" s="19">
        <v>186</v>
      </c>
      <c r="L35" s="5">
        <f t="shared" si="0"/>
        <v>50.985444477947425</v>
      </c>
      <c r="M35" s="4">
        <f t="shared" si="1"/>
        <v>75.196850393700785</v>
      </c>
      <c r="N35">
        <f t="shared" si="2"/>
        <v>6</v>
      </c>
      <c r="O35">
        <f t="shared" si="3"/>
        <v>3.2</v>
      </c>
      <c r="P35" t="str">
        <f t="shared" si="4"/>
        <v>6' 3.2"</v>
      </c>
      <c r="Q35">
        <f t="shared" si="5"/>
        <v>410</v>
      </c>
      <c r="R35">
        <f t="shared" si="6"/>
        <v>5</v>
      </c>
      <c r="S35">
        <f t="shared" si="6"/>
        <v>5</v>
      </c>
      <c r="T35">
        <f t="shared" si="6"/>
        <v>10</v>
      </c>
      <c r="U35">
        <f>_xlfn.XLOOKUP(A35,'January 2023 Data'!$A$4:$A$49,'January 2023 Data'!$H$4:$H$49,,0)</f>
        <v>190</v>
      </c>
      <c r="V35">
        <f t="shared" si="7"/>
        <v>1</v>
      </c>
      <c r="W35" s="22" t="s">
        <v>228</v>
      </c>
      <c r="X35" t="str">
        <f t="shared" si="8"/>
        <v>Aoiyama, 5-8</v>
      </c>
    </row>
    <row r="36" spans="1:24">
      <c r="A36" s="1" t="s">
        <v>122</v>
      </c>
      <c r="B36" s="1"/>
      <c r="C36" s="1" t="s">
        <v>143</v>
      </c>
      <c r="D36" s="1" t="s">
        <v>148</v>
      </c>
      <c r="E36" s="1" t="s">
        <v>150</v>
      </c>
      <c r="F36" s="1" t="s">
        <v>150</v>
      </c>
      <c r="G36" s="1" t="s">
        <v>148</v>
      </c>
      <c r="H36" s="1">
        <f>_xlfn.XLOOKUP(G36,'rank lookup'!$A$1:$A$21,'rank lookup'!$B$1:$B$21,,0)</f>
        <v>16</v>
      </c>
      <c r="I36" s="1" t="s">
        <v>237</v>
      </c>
      <c r="J36" s="19">
        <v>176</v>
      </c>
      <c r="K36" s="19">
        <v>133</v>
      </c>
      <c r="L36" s="5">
        <f t="shared" ref="L36:L54" si="10">K36/(J36*J36)*10000</f>
        <v>42.936466942148755</v>
      </c>
      <c r="M36" s="4">
        <f t="shared" ref="M36:M54" si="11">CONVERT(J36,"cm","in")</f>
        <v>69.29133858267717</v>
      </c>
      <c r="N36">
        <f t="shared" ref="N36:N54" si="12">_xlfn.FLOOR.MATH(M36/12)</f>
        <v>5</v>
      </c>
      <c r="O36">
        <f t="shared" ref="O36:O54" si="13">ROUND(M36-N36*12,1)</f>
        <v>9.3000000000000007</v>
      </c>
      <c r="P36" t="str">
        <f t="shared" ref="P36:P54" si="14">N36&amp;"' "&amp;O36&amp;""""</f>
        <v>5' 9.3"</v>
      </c>
      <c r="Q36">
        <f t="shared" ref="Q36:Q54" si="15">ROUND(CONVERT(K36,"kg","lbm"),0)</f>
        <v>293</v>
      </c>
      <c r="R36">
        <f t="shared" si="6"/>
        <v>38</v>
      </c>
      <c r="S36">
        <f t="shared" si="6"/>
        <v>40</v>
      </c>
      <c r="T36">
        <f t="shared" si="6"/>
        <v>33</v>
      </c>
      <c r="U36">
        <f>_xlfn.XLOOKUP(A36,'January 2023 Data'!$A$4:$A$49,'January 2023 Data'!$H$4:$H$49,,0)</f>
        <v>176</v>
      </c>
      <c r="V36">
        <f t="shared" si="7"/>
        <v>0</v>
      </c>
      <c r="W36" s="22" t="s">
        <v>229</v>
      </c>
      <c r="X36" t="str">
        <f t="shared" si="8"/>
        <v>Kotoeko, 6-7</v>
      </c>
    </row>
    <row r="37" spans="1:24">
      <c r="A37" s="1" t="s">
        <v>110</v>
      </c>
      <c r="B37" s="1"/>
      <c r="C37" s="1" t="s">
        <v>151</v>
      </c>
      <c r="D37" s="1" t="s">
        <v>145</v>
      </c>
      <c r="E37" s="1" t="s">
        <v>147</v>
      </c>
      <c r="F37" s="1" t="s">
        <v>154</v>
      </c>
      <c r="G37" s="1" t="s">
        <v>150</v>
      </c>
      <c r="H37" s="1">
        <f>_xlfn.XLOOKUP(G37,'rank lookup'!$A$1:$A$21,'rank lookup'!$B$1:$B$21,,0)</f>
        <v>17</v>
      </c>
      <c r="I37" s="1" t="s">
        <v>244</v>
      </c>
      <c r="J37" s="19">
        <v>184</v>
      </c>
      <c r="K37" s="19">
        <v>137</v>
      </c>
      <c r="L37" s="5">
        <f t="shared" si="10"/>
        <v>40.465500945179578</v>
      </c>
      <c r="M37" s="4">
        <f t="shared" si="11"/>
        <v>72.440944881889763</v>
      </c>
      <c r="N37">
        <f t="shared" si="12"/>
        <v>6</v>
      </c>
      <c r="O37">
        <f t="shared" si="13"/>
        <v>0.4</v>
      </c>
      <c r="P37" t="str">
        <f t="shared" si="14"/>
        <v>6' 0.4"</v>
      </c>
      <c r="Q37">
        <f t="shared" si="15"/>
        <v>302</v>
      </c>
      <c r="R37">
        <f t="shared" si="6"/>
        <v>25</v>
      </c>
      <c r="S37">
        <f t="shared" si="6"/>
        <v>37</v>
      </c>
      <c r="T37">
        <f t="shared" si="6"/>
        <v>39</v>
      </c>
      <c r="U37">
        <f>_xlfn.XLOOKUP(A37,'January 2023 Data'!$A$4:$A$49,'January 2023 Data'!$H$4:$H$49,,0)</f>
        <v>183</v>
      </c>
      <c r="V37">
        <f t="shared" si="7"/>
        <v>1</v>
      </c>
      <c r="W37" s="22" t="s">
        <v>225</v>
      </c>
      <c r="X37" t="str">
        <f t="shared" si="8"/>
        <v>Chiyoshoma, 8-5</v>
      </c>
    </row>
    <row r="38" spans="1:24" ht="25">
      <c r="A38" s="1" t="s">
        <v>89</v>
      </c>
      <c r="B38" s="1">
        <v>1</v>
      </c>
      <c r="C38" s="1" t="s">
        <v>42</v>
      </c>
      <c r="D38" s="1" t="s">
        <v>136</v>
      </c>
      <c r="E38" s="1" t="s">
        <v>135</v>
      </c>
      <c r="F38" s="1" t="s">
        <v>170</v>
      </c>
      <c r="G38" s="1" t="s">
        <v>150</v>
      </c>
      <c r="H38" s="1">
        <f>_xlfn.XLOOKUP(G38,'rank lookup'!$A$1:$A$21,'rank lookup'!$B$1:$B$21,,0)</f>
        <v>17</v>
      </c>
      <c r="I38" s="1" t="s">
        <v>254</v>
      </c>
      <c r="J38" s="19">
        <v>191</v>
      </c>
      <c r="K38" s="19">
        <v>219</v>
      </c>
      <c r="L38" s="5">
        <f t="shared" si="10"/>
        <v>60.031249143389715</v>
      </c>
      <c r="M38" s="4">
        <f t="shared" si="11"/>
        <v>75.196850393700785</v>
      </c>
      <c r="N38">
        <f t="shared" si="12"/>
        <v>6</v>
      </c>
      <c r="O38">
        <f t="shared" si="13"/>
        <v>3.2</v>
      </c>
      <c r="P38" t="str">
        <f t="shared" si="14"/>
        <v>6' 3.2"</v>
      </c>
      <c r="Q38">
        <f t="shared" si="15"/>
        <v>483</v>
      </c>
      <c r="R38">
        <f t="shared" si="6"/>
        <v>5</v>
      </c>
      <c r="S38">
        <f t="shared" si="6"/>
        <v>1</v>
      </c>
      <c r="T38">
        <f t="shared" si="6"/>
        <v>1</v>
      </c>
      <c r="U38">
        <f>_xlfn.XLOOKUP(A38,'January 2023 Data'!$A$4:$A$49,'January 2023 Data'!$H$4:$H$49,,0)</f>
        <v>190</v>
      </c>
      <c r="V38">
        <f t="shared" si="7"/>
        <v>1</v>
      </c>
      <c r="W38" s="22" t="s">
        <v>225</v>
      </c>
      <c r="X38" t="str">
        <f t="shared" si="8"/>
        <v>Ichinojo, 8-5</v>
      </c>
    </row>
    <row r="39" spans="1:24">
      <c r="A39" s="1" t="s">
        <v>97</v>
      </c>
      <c r="B39" s="1"/>
      <c r="C39" s="1" t="s">
        <v>143</v>
      </c>
      <c r="D39" s="1" t="s">
        <v>135</v>
      </c>
      <c r="E39" s="1" t="s">
        <v>141</v>
      </c>
      <c r="F39" s="1" t="s">
        <v>145</v>
      </c>
      <c r="G39" s="1" t="s">
        <v>151</v>
      </c>
      <c r="H39" s="1">
        <f>_xlfn.XLOOKUP(G39,'rank lookup'!$A$1:$A$21,'rank lookup'!$B$1:$B$21,,0)</f>
        <v>18</v>
      </c>
      <c r="I39" s="1" t="s">
        <v>244</v>
      </c>
      <c r="J39" s="19">
        <v>188</v>
      </c>
      <c r="K39" s="19">
        <v>156</v>
      </c>
      <c r="L39" s="5">
        <f t="shared" si="10"/>
        <v>44.137618832050705</v>
      </c>
      <c r="M39" s="4">
        <f t="shared" si="11"/>
        <v>74.015748031496059</v>
      </c>
      <c r="N39">
        <f t="shared" si="12"/>
        <v>6</v>
      </c>
      <c r="O39">
        <f t="shared" si="13"/>
        <v>2</v>
      </c>
      <c r="P39" t="str">
        <f t="shared" si="14"/>
        <v>6' 2"</v>
      </c>
      <c r="Q39">
        <f t="shared" si="15"/>
        <v>344</v>
      </c>
      <c r="R39">
        <f t="shared" si="6"/>
        <v>13</v>
      </c>
      <c r="S39">
        <f t="shared" si="6"/>
        <v>25</v>
      </c>
      <c r="T39">
        <f t="shared" si="6"/>
        <v>28</v>
      </c>
      <c r="U39">
        <f>_xlfn.XLOOKUP(A39,'January 2023 Data'!$A$4:$A$49,'January 2023 Data'!$H$4:$H$49,,0)</f>
        <v>189</v>
      </c>
      <c r="V39">
        <f t="shared" si="7"/>
        <v>-1</v>
      </c>
      <c r="W39" s="22" t="s">
        <v>221</v>
      </c>
      <c r="X39" t="str">
        <f t="shared" si="8"/>
        <v>Myogiryu, 9-4</v>
      </c>
    </row>
    <row r="40" spans="1:24">
      <c r="A40" s="1" t="s">
        <v>231</v>
      </c>
      <c r="G40" t="s">
        <v>151</v>
      </c>
      <c r="H40" s="1">
        <f>_xlfn.XLOOKUP(G40,'rank lookup'!$A$1:$A$21,'rank lookup'!$B$1:$B$21,,0)</f>
        <v>18</v>
      </c>
      <c r="I40" t="s">
        <v>253</v>
      </c>
      <c r="J40" s="19">
        <v>189</v>
      </c>
      <c r="K40" s="19">
        <v>168</v>
      </c>
      <c r="L40" s="5">
        <f t="shared" si="10"/>
        <v>47.031158142269256</v>
      </c>
      <c r="M40" s="4">
        <f t="shared" si="11"/>
        <v>74.409448818897644</v>
      </c>
      <c r="N40">
        <f t="shared" si="12"/>
        <v>6</v>
      </c>
      <c r="O40">
        <f t="shared" si="13"/>
        <v>2.4</v>
      </c>
      <c r="P40" t="str">
        <f t="shared" si="14"/>
        <v>6' 2.4"</v>
      </c>
      <c r="Q40">
        <f t="shared" si="15"/>
        <v>370</v>
      </c>
      <c r="R40">
        <f t="shared" si="6"/>
        <v>9</v>
      </c>
      <c r="S40">
        <f t="shared" si="6"/>
        <v>17</v>
      </c>
      <c r="T40">
        <f t="shared" si="6"/>
        <v>21</v>
      </c>
      <c r="U40" t="e">
        <f>_xlfn.XLOOKUP(A40,'January 2023 Data'!$A$4:$A$49,'January 2023 Data'!$H$4:$H$49,,0)</f>
        <v>#N/A</v>
      </c>
      <c r="V40" t="e">
        <f t="shared" si="7"/>
        <v>#N/A</v>
      </c>
      <c r="W40" s="22" t="s">
        <v>224</v>
      </c>
      <c r="X40" t="str">
        <f t="shared" si="8"/>
        <v>Asanoyama, 4-9</v>
      </c>
    </row>
    <row r="41" spans="1:24">
      <c r="A41" s="1" t="s">
        <v>98</v>
      </c>
      <c r="B41" s="1"/>
      <c r="C41" s="1" t="s">
        <v>150</v>
      </c>
      <c r="D41" s="1" t="s">
        <v>151</v>
      </c>
      <c r="E41" s="1" t="s">
        <v>151</v>
      </c>
      <c r="F41" s="1" t="s">
        <v>142</v>
      </c>
      <c r="G41" s="1" t="s">
        <v>152</v>
      </c>
      <c r="H41" s="1">
        <f>_xlfn.XLOOKUP(G41,'rank lookup'!$A$1:$A$21,'rank lookup'!$B$1:$B$21,,0)</f>
        <v>19</v>
      </c>
      <c r="I41" s="1" t="s">
        <v>247</v>
      </c>
      <c r="J41" s="19">
        <v>187</v>
      </c>
      <c r="K41" s="19">
        <v>144</v>
      </c>
      <c r="L41" s="5">
        <f t="shared" si="10"/>
        <v>41.179330263948074</v>
      </c>
      <c r="M41" s="4">
        <f t="shared" si="11"/>
        <v>73.622047244094489</v>
      </c>
      <c r="N41">
        <f t="shared" si="12"/>
        <v>6</v>
      </c>
      <c r="O41">
        <f t="shared" si="13"/>
        <v>1.6</v>
      </c>
      <c r="P41" t="str">
        <f t="shared" si="14"/>
        <v>6' 1.6"</v>
      </c>
      <c r="Q41">
        <f t="shared" si="15"/>
        <v>317</v>
      </c>
      <c r="R41">
        <f t="shared" si="6"/>
        <v>17</v>
      </c>
      <c r="S41">
        <f t="shared" si="6"/>
        <v>32</v>
      </c>
      <c r="T41">
        <f t="shared" si="6"/>
        <v>38</v>
      </c>
      <c r="U41">
        <f>_xlfn.XLOOKUP(A41,'January 2023 Data'!$A$4:$A$49,'January 2023 Data'!$H$4:$H$49,,0)</f>
        <v>187</v>
      </c>
      <c r="V41">
        <f t="shared" si="7"/>
        <v>0</v>
      </c>
      <c r="W41" s="22" t="s">
        <v>229</v>
      </c>
      <c r="X41" t="str">
        <f t="shared" si="8"/>
        <v>Ichiyamamoto, 6-7</v>
      </c>
    </row>
    <row r="42" spans="1:24">
      <c r="A42" s="1" t="s">
        <v>108</v>
      </c>
      <c r="B42" s="1"/>
      <c r="C42" s="1" t="s">
        <v>152</v>
      </c>
      <c r="D42" s="1" t="s">
        <v>170</v>
      </c>
      <c r="E42" s="1" t="s">
        <v>152</v>
      </c>
      <c r="F42" s="1" t="s">
        <v>154</v>
      </c>
      <c r="G42" s="1" t="s">
        <v>152</v>
      </c>
      <c r="H42" s="1">
        <f>_xlfn.XLOOKUP(G42,'rank lookup'!$A$1:$A$21,'rank lookup'!$B$1:$B$21,,0)</f>
        <v>19</v>
      </c>
      <c r="I42" s="1" t="s">
        <v>252</v>
      </c>
      <c r="J42" s="19">
        <v>185</v>
      </c>
      <c r="K42" s="19">
        <v>194</v>
      </c>
      <c r="L42" s="5">
        <f t="shared" si="10"/>
        <v>56.683710737764791</v>
      </c>
      <c r="M42" s="4">
        <f t="shared" si="11"/>
        <v>72.834645669291348</v>
      </c>
      <c r="N42">
        <f t="shared" si="12"/>
        <v>6</v>
      </c>
      <c r="O42">
        <f t="shared" si="13"/>
        <v>0.8</v>
      </c>
      <c r="P42" t="str">
        <f t="shared" si="14"/>
        <v>6' 0.8"</v>
      </c>
      <c r="Q42">
        <f t="shared" si="15"/>
        <v>428</v>
      </c>
      <c r="R42">
        <f t="shared" si="6"/>
        <v>22</v>
      </c>
      <c r="S42">
        <f t="shared" si="6"/>
        <v>4</v>
      </c>
      <c r="T42">
        <f t="shared" si="6"/>
        <v>3</v>
      </c>
      <c r="U42">
        <f>_xlfn.XLOOKUP(A42,'January 2023 Data'!$A$4:$A$49,'January 2023 Data'!$H$4:$H$49,,0)</f>
        <v>184</v>
      </c>
      <c r="V42">
        <f t="shared" si="7"/>
        <v>1</v>
      </c>
      <c r="W42" s="22" t="s">
        <v>220</v>
      </c>
      <c r="X42" t="str">
        <f t="shared" si="8"/>
        <v>Tsurugisho, 7-6</v>
      </c>
    </row>
    <row r="43" spans="1:24">
      <c r="A43" s="1" t="s">
        <v>88</v>
      </c>
      <c r="B43" s="1"/>
      <c r="C43" s="1" t="s">
        <v>150</v>
      </c>
      <c r="D43" s="1" t="s">
        <v>150</v>
      </c>
      <c r="E43" s="1" t="s">
        <v>142</v>
      </c>
      <c r="F43" s="1" t="s">
        <v>152</v>
      </c>
      <c r="G43" s="1" t="s">
        <v>154</v>
      </c>
      <c r="H43" s="1">
        <f>_xlfn.XLOOKUP(G43,'rank lookup'!$A$1:$A$21,'rank lookup'!$B$1:$B$21,,0)</f>
        <v>20</v>
      </c>
      <c r="I43" s="1" t="s">
        <v>239</v>
      </c>
      <c r="J43" s="19">
        <v>190</v>
      </c>
      <c r="K43" s="19">
        <v>179</v>
      </c>
      <c r="L43" s="5">
        <f t="shared" si="10"/>
        <v>49.584487534626035</v>
      </c>
      <c r="M43" s="4">
        <f t="shared" si="11"/>
        <v>74.803149606299215</v>
      </c>
      <c r="N43">
        <f t="shared" si="12"/>
        <v>6</v>
      </c>
      <c r="O43">
        <f t="shared" si="13"/>
        <v>2.8</v>
      </c>
      <c r="P43" t="str">
        <f t="shared" si="14"/>
        <v>6' 2.8"</v>
      </c>
      <c r="Q43">
        <f t="shared" si="15"/>
        <v>395</v>
      </c>
      <c r="R43">
        <f t="shared" si="6"/>
        <v>8</v>
      </c>
      <c r="S43">
        <f t="shared" si="6"/>
        <v>10</v>
      </c>
      <c r="T43">
        <f t="shared" si="6"/>
        <v>12</v>
      </c>
      <c r="U43">
        <f>_xlfn.XLOOKUP(A43,'January 2023 Data'!$A$4:$A$49,'January 2023 Data'!$H$4:$H$49,,0)</f>
        <v>189</v>
      </c>
      <c r="V43">
        <f t="shared" si="7"/>
        <v>1</v>
      </c>
      <c r="W43" s="22" t="s">
        <v>225</v>
      </c>
      <c r="X43" t="str">
        <f t="shared" si="8"/>
        <v>Oho, 8-5</v>
      </c>
    </row>
    <row r="44" spans="1:24">
      <c r="A44" t="s">
        <v>153</v>
      </c>
      <c r="C44" s="1" t="s">
        <v>154</v>
      </c>
      <c r="D44" s="1" t="s">
        <v>170</v>
      </c>
      <c r="E44" s="1" t="s">
        <v>152</v>
      </c>
      <c r="F44" s="1" t="s">
        <v>186</v>
      </c>
      <c r="G44" s="1" t="s">
        <v>154</v>
      </c>
      <c r="H44" s="1">
        <f>_xlfn.XLOOKUP(G44,'rank lookup'!$A$1:$A$21,'rank lookup'!$B$1:$B$21,,0)</f>
        <v>20</v>
      </c>
      <c r="I44" s="1" t="s">
        <v>238</v>
      </c>
      <c r="J44" s="19">
        <v>189</v>
      </c>
      <c r="K44" s="19">
        <v>199</v>
      </c>
      <c r="L44" s="5">
        <f t="shared" si="10"/>
        <v>55.709526608997514</v>
      </c>
      <c r="M44" s="4">
        <f t="shared" si="11"/>
        <v>74.409448818897644</v>
      </c>
      <c r="N44">
        <f t="shared" si="12"/>
        <v>6</v>
      </c>
      <c r="O44">
        <f t="shared" si="13"/>
        <v>2.4</v>
      </c>
      <c r="P44" t="str">
        <f t="shared" si="14"/>
        <v>6' 2.4"</v>
      </c>
      <c r="Q44">
        <f t="shared" si="15"/>
        <v>439</v>
      </c>
      <c r="R44">
        <f t="shared" si="6"/>
        <v>9</v>
      </c>
      <c r="S44">
        <f t="shared" si="6"/>
        <v>2</v>
      </c>
      <c r="T44">
        <f t="shared" si="6"/>
        <v>4</v>
      </c>
      <c r="U44">
        <f>_xlfn.XLOOKUP(A44,'January 2023 Data'!$A$4:$A$49,'January 2023 Data'!$H$4:$H$49,,0)</f>
        <v>190</v>
      </c>
      <c r="V44">
        <f t="shared" si="7"/>
        <v>-1</v>
      </c>
      <c r="W44" s="22" t="s">
        <v>220</v>
      </c>
      <c r="X44" t="str">
        <f t="shared" si="8"/>
        <v>Mitoryu, 7-6</v>
      </c>
    </row>
    <row r="45" spans="1:24">
      <c r="A45" s="1" t="s">
        <v>167</v>
      </c>
      <c r="D45" t="s">
        <v>152</v>
      </c>
      <c r="E45" t="s">
        <v>148</v>
      </c>
      <c r="F45" t="s">
        <v>148</v>
      </c>
      <c r="G45" s="1" t="s">
        <v>186</v>
      </c>
      <c r="H45" s="1">
        <f>_xlfn.XLOOKUP(G45,'rank lookup'!$A$1:$A$21,'rank lookup'!$B$1:$B$21,,0)</f>
        <v>21</v>
      </c>
      <c r="I45" t="s">
        <v>244</v>
      </c>
      <c r="J45" s="19">
        <v>193</v>
      </c>
      <c r="K45" s="19">
        <v>156</v>
      </c>
      <c r="L45" s="5">
        <f t="shared" si="10"/>
        <v>41.880318934736501</v>
      </c>
      <c r="M45" s="4">
        <f t="shared" si="11"/>
        <v>75.984251968503941</v>
      </c>
      <c r="N45">
        <f t="shared" si="12"/>
        <v>6</v>
      </c>
      <c r="O45">
        <f t="shared" si="13"/>
        <v>4</v>
      </c>
      <c r="P45" t="str">
        <f t="shared" si="14"/>
        <v>6' 4"</v>
      </c>
      <c r="Q45">
        <f t="shared" si="15"/>
        <v>344</v>
      </c>
      <c r="R45">
        <f t="shared" si="6"/>
        <v>2</v>
      </c>
      <c r="S45">
        <f t="shared" si="6"/>
        <v>25</v>
      </c>
      <c r="T45">
        <f t="shared" si="6"/>
        <v>36</v>
      </c>
      <c r="U45">
        <f>_xlfn.XLOOKUP(A45,'January 2023 Data'!$A$4:$A$49,'January 2023 Data'!$H$4:$H$49,,0)</f>
        <v>193</v>
      </c>
      <c r="V45">
        <f t="shared" si="7"/>
        <v>0</v>
      </c>
      <c r="W45" s="22" t="s">
        <v>220</v>
      </c>
      <c r="X45" t="str">
        <f t="shared" si="8"/>
        <v>Kagayaki, 7-6</v>
      </c>
    </row>
    <row r="46" spans="1:24">
      <c r="A46" s="1" t="s">
        <v>166</v>
      </c>
      <c r="D46" t="s">
        <v>151</v>
      </c>
      <c r="E46" s="1" t="s">
        <v>151</v>
      </c>
      <c r="F46" s="1" t="s">
        <v>147</v>
      </c>
      <c r="G46" s="1" t="s">
        <v>192</v>
      </c>
      <c r="H46" s="1" t="e">
        <f>_xlfn.XLOOKUP(G46,'rank lookup'!$A$1:$A$21,'rank lookup'!$B$1:$B$21,,0)</f>
        <v>#N/A</v>
      </c>
      <c r="I46" s="1"/>
      <c r="J46" s="19">
        <v>192</v>
      </c>
      <c r="K46" s="19">
        <v>159</v>
      </c>
      <c r="L46" s="5">
        <f t="shared" si="10"/>
        <v>43.131510416666671</v>
      </c>
      <c r="M46" s="4">
        <f t="shared" si="11"/>
        <v>75.59055118110237</v>
      </c>
      <c r="N46">
        <f t="shared" si="12"/>
        <v>6</v>
      </c>
      <c r="O46">
        <f t="shared" si="13"/>
        <v>3.6</v>
      </c>
      <c r="P46" t="str">
        <f t="shared" si="14"/>
        <v>6' 3.6"</v>
      </c>
      <c r="Q46">
        <f t="shared" si="15"/>
        <v>351</v>
      </c>
      <c r="U46">
        <f>_xlfn.XLOOKUP(A46,'January 2023 Data'!$A$4:$A$49,'January 2023 Data'!$H$4:$H$49,,0)</f>
        <v>191</v>
      </c>
      <c r="V46">
        <f>J46-U46</f>
        <v>1</v>
      </c>
      <c r="X46" t="str">
        <f t="shared" si="8"/>
        <v xml:space="preserve">Azumaryu, </v>
      </c>
    </row>
    <row r="47" spans="1:24">
      <c r="A47" s="1" t="s">
        <v>190</v>
      </c>
      <c r="F47" t="s">
        <v>151</v>
      </c>
      <c r="G47" s="1" t="s">
        <v>170</v>
      </c>
      <c r="H47" s="1" t="e">
        <f>_xlfn.XLOOKUP(G47,'rank lookup'!$A$1:$A$21,'rank lookup'!$B$1:$B$21,,0)</f>
        <v>#N/A</v>
      </c>
      <c r="J47" s="19">
        <v>171</v>
      </c>
      <c r="K47" s="19">
        <v>171</v>
      </c>
      <c r="L47" s="5">
        <f t="shared" si="10"/>
        <v>58.479532163742689</v>
      </c>
      <c r="M47" s="4">
        <f t="shared" si="11"/>
        <v>67.322834645669289</v>
      </c>
      <c r="N47">
        <f t="shared" si="12"/>
        <v>5</v>
      </c>
      <c r="O47">
        <f t="shared" si="13"/>
        <v>7.3</v>
      </c>
      <c r="P47" t="str">
        <f t="shared" si="14"/>
        <v>5' 7.3"</v>
      </c>
      <c r="Q47">
        <f t="shared" si="15"/>
        <v>377</v>
      </c>
      <c r="U47" t="e">
        <f>_xlfn.XLOOKUP(A47,'January 2023 Data'!$A$4:$A$49,'January 2023 Data'!$H$4:$H$49,,0)</f>
        <v>#N/A</v>
      </c>
      <c r="V47" t="e">
        <f t="shared" si="7"/>
        <v>#N/A</v>
      </c>
      <c r="X47" t="str">
        <f t="shared" si="8"/>
        <v xml:space="preserve">Bushozan, </v>
      </c>
    </row>
    <row r="48" spans="1:24">
      <c r="A48" s="1" t="s">
        <v>87</v>
      </c>
      <c r="B48" s="1">
        <v>1</v>
      </c>
      <c r="C48" s="1" t="s">
        <v>142</v>
      </c>
      <c r="D48" s="1" t="s">
        <v>142</v>
      </c>
      <c r="E48" s="1" t="s">
        <v>147</v>
      </c>
      <c r="F48" s="1" t="s">
        <v>192</v>
      </c>
      <c r="G48" s="1" t="s">
        <v>232</v>
      </c>
      <c r="H48" s="1" t="e">
        <f>_xlfn.XLOOKUP(G48,'rank lookup'!$A$1:$A$21,'rank lookup'!$B$1:$B$21,,0)</f>
        <v>#N/A</v>
      </c>
      <c r="I48" s="1"/>
      <c r="J48" s="19">
        <v>192</v>
      </c>
      <c r="K48" s="19">
        <v>189</v>
      </c>
      <c r="L48" s="5">
        <f t="shared" si="10"/>
        <v>51.26953125</v>
      </c>
      <c r="M48" s="4">
        <f t="shared" si="11"/>
        <v>75.59055118110237</v>
      </c>
      <c r="N48">
        <f t="shared" si="12"/>
        <v>6</v>
      </c>
      <c r="O48">
        <f t="shared" si="13"/>
        <v>3.6</v>
      </c>
      <c r="P48" t="str">
        <f t="shared" si="14"/>
        <v>6' 3.6"</v>
      </c>
      <c r="Q48">
        <f t="shared" si="15"/>
        <v>417</v>
      </c>
      <c r="U48">
        <f>_xlfn.XLOOKUP(A48,'January 2023 Data'!$A$4:$A$49,'January 2023 Data'!$H$4:$H$49,,0)</f>
        <v>192</v>
      </c>
      <c r="V48">
        <f t="shared" si="7"/>
        <v>0</v>
      </c>
      <c r="X48" t="str">
        <f t="shared" si="8"/>
        <v xml:space="preserve">Tochinoshin, </v>
      </c>
    </row>
    <row r="49" spans="1:24">
      <c r="A49" s="1" t="s">
        <v>90</v>
      </c>
      <c r="B49" s="1"/>
      <c r="C49" s="1" t="s">
        <v>148</v>
      </c>
      <c r="D49" s="1" t="s">
        <v>150</v>
      </c>
      <c r="E49" s="1" t="s">
        <v>148</v>
      </c>
      <c r="F49" s="1" t="s">
        <v>179</v>
      </c>
      <c r="G49" s="1"/>
      <c r="H49" s="1" t="e">
        <f>_xlfn.XLOOKUP(G49,'rank lookup'!$A$1:$A$21,'rank lookup'!$B$1:$B$21,,0)</f>
        <v>#N/A</v>
      </c>
      <c r="I49" s="1"/>
      <c r="J49" s="19">
        <v>189</v>
      </c>
      <c r="K49" s="19">
        <v>161</v>
      </c>
      <c r="L49" s="5">
        <f t="shared" si="10"/>
        <v>45.071526553008034</v>
      </c>
      <c r="M49" s="4">
        <f t="shared" si="11"/>
        <v>74.409448818897644</v>
      </c>
      <c r="N49">
        <f t="shared" si="12"/>
        <v>6</v>
      </c>
      <c r="O49">
        <f t="shared" si="13"/>
        <v>2.4</v>
      </c>
      <c r="P49" t="str">
        <f t="shared" si="14"/>
        <v>6' 2.4"</v>
      </c>
      <c r="Q49">
        <f t="shared" si="15"/>
        <v>355</v>
      </c>
      <c r="U49">
        <f>_xlfn.XLOOKUP(A49,'January 2023 Data'!$A$4:$A$49,'January 2023 Data'!$H$4:$H$49,,0)</f>
        <v>189</v>
      </c>
      <c r="V49">
        <f t="shared" si="7"/>
        <v>0</v>
      </c>
      <c r="X49" t="str">
        <f t="shared" si="8"/>
        <v xml:space="preserve">Okinoumi, </v>
      </c>
    </row>
    <row r="50" spans="1:24">
      <c r="A50" t="s">
        <v>119</v>
      </c>
      <c r="E50" s="1" t="s">
        <v>154</v>
      </c>
      <c r="F50" s="1" t="s">
        <v>169</v>
      </c>
      <c r="G50" s="1" t="s">
        <v>180</v>
      </c>
      <c r="H50" s="1" t="e">
        <f>_xlfn.XLOOKUP(G50,'rank lookup'!$A$1:$A$21,'rank lookup'!$B$1:$B$21,,0)</f>
        <v>#N/A</v>
      </c>
      <c r="I50" s="1"/>
      <c r="J50" s="19">
        <v>178</v>
      </c>
      <c r="K50" s="19">
        <v>166</v>
      </c>
      <c r="L50" s="5">
        <f t="shared" si="10"/>
        <v>52.392374700164119</v>
      </c>
      <c r="M50" s="4">
        <f t="shared" si="11"/>
        <v>70.078740157480311</v>
      </c>
      <c r="N50">
        <f t="shared" si="12"/>
        <v>5</v>
      </c>
      <c r="O50">
        <f t="shared" si="13"/>
        <v>10.1</v>
      </c>
      <c r="P50" t="str">
        <f t="shared" si="14"/>
        <v>5' 10.1"</v>
      </c>
      <c r="Q50">
        <f t="shared" si="15"/>
        <v>366</v>
      </c>
      <c r="U50">
        <f>_xlfn.XLOOKUP(A50,'January 2023 Data'!$A$4:$A$49,'January 2023 Data'!$H$4:$H$49,,0)</f>
        <v>177</v>
      </c>
      <c r="V50">
        <f t="shared" si="7"/>
        <v>1</v>
      </c>
      <c r="X50" t="str">
        <f t="shared" si="8"/>
        <v xml:space="preserve">Chiyomaru, </v>
      </c>
    </row>
    <row r="51" spans="1:24">
      <c r="A51" s="1" t="s">
        <v>113</v>
      </c>
      <c r="B51" s="1"/>
      <c r="C51" s="1" t="s">
        <v>147</v>
      </c>
      <c r="D51" s="1" t="s">
        <v>148</v>
      </c>
      <c r="E51" s="1" t="s">
        <v>179</v>
      </c>
      <c r="F51" s="1"/>
      <c r="G51" s="1"/>
      <c r="H51" s="1" t="e">
        <f>_xlfn.XLOOKUP(G51,'rank lookup'!$A$1:$A$21,'rank lookup'!$B$1:$B$21,,0)</f>
        <v>#N/A</v>
      </c>
      <c r="I51" s="1"/>
      <c r="J51" s="19">
        <v>181</v>
      </c>
      <c r="K51" s="19">
        <v>189</v>
      </c>
      <c r="L51" s="5">
        <f t="shared" si="10"/>
        <v>57.690546686609082</v>
      </c>
      <c r="M51" s="4">
        <f t="shared" si="11"/>
        <v>71.259842519685037</v>
      </c>
      <c r="N51">
        <f t="shared" si="12"/>
        <v>5</v>
      </c>
      <c r="O51">
        <f t="shared" si="13"/>
        <v>11.3</v>
      </c>
      <c r="P51" t="str">
        <f t="shared" si="14"/>
        <v>5' 11.3"</v>
      </c>
      <c r="Q51">
        <f t="shared" si="15"/>
        <v>417</v>
      </c>
      <c r="U51">
        <f>_xlfn.XLOOKUP(A51,'January 2023 Data'!$A$4:$A$49,'January 2023 Data'!$H$4:$H$49,,0)</f>
        <v>181</v>
      </c>
      <c r="V51">
        <f t="shared" si="7"/>
        <v>0</v>
      </c>
      <c r="X51" t="str">
        <f t="shared" si="8"/>
        <v xml:space="preserve">Chiyotairyu, </v>
      </c>
    </row>
    <row r="52" spans="1:24">
      <c r="A52" s="1" t="s">
        <v>168</v>
      </c>
      <c r="D52" t="s">
        <v>152</v>
      </c>
      <c r="E52" s="1" t="s">
        <v>170</v>
      </c>
      <c r="F52" s="1" t="s">
        <v>187</v>
      </c>
      <c r="G52" s="1" t="s">
        <v>187</v>
      </c>
      <c r="H52" s="1" t="e">
        <f>_xlfn.XLOOKUP(G52,'rank lookup'!$A$1:$A$21,'rank lookup'!$B$1:$B$21,,0)</f>
        <v>#N/A</v>
      </c>
      <c r="J52" s="19">
        <v>185</v>
      </c>
      <c r="K52" s="19">
        <v>174</v>
      </c>
      <c r="L52" s="5">
        <f t="shared" si="10"/>
        <v>50.840029218407601</v>
      </c>
      <c r="M52" s="4">
        <f t="shared" si="11"/>
        <v>72.834645669291348</v>
      </c>
      <c r="N52">
        <f t="shared" si="12"/>
        <v>6</v>
      </c>
      <c r="O52">
        <f t="shared" si="13"/>
        <v>0.8</v>
      </c>
      <c r="P52" t="str">
        <f t="shared" si="14"/>
        <v>6' 0.8"</v>
      </c>
      <c r="Q52">
        <f t="shared" si="15"/>
        <v>384</v>
      </c>
      <c r="U52">
        <f>_xlfn.XLOOKUP(A52,'January 2023 Data'!$A$4:$A$49,'January 2023 Data'!$H$4:$H$49,,0)</f>
        <v>185</v>
      </c>
      <c r="V52">
        <f t="shared" si="7"/>
        <v>0</v>
      </c>
      <c r="X52" t="str">
        <f t="shared" si="8"/>
        <v xml:space="preserve">Atamifuji, </v>
      </c>
    </row>
    <row r="53" spans="1:24">
      <c r="A53" s="1" t="s">
        <v>126</v>
      </c>
      <c r="B53" s="1"/>
      <c r="C53" s="1" t="s">
        <v>152</v>
      </c>
      <c r="D53" s="1" t="s">
        <v>154</v>
      </c>
      <c r="E53" s="1" t="s">
        <v>180</v>
      </c>
      <c r="F53" s="1" t="s">
        <v>194</v>
      </c>
      <c r="G53" s="1" t="s">
        <v>233</v>
      </c>
      <c r="H53" s="1" t="e">
        <f>_xlfn.XLOOKUP(G53,'rank lookup'!$A$1:$A$21,'rank lookup'!$B$1:$B$21,,0)</f>
        <v>#N/A</v>
      </c>
      <c r="I53" s="1"/>
      <c r="J53" s="19">
        <v>169</v>
      </c>
      <c r="K53" s="19">
        <v>107</v>
      </c>
      <c r="L53" s="5">
        <f t="shared" si="10"/>
        <v>37.463674241098005</v>
      </c>
      <c r="M53" s="4">
        <f t="shared" si="11"/>
        <v>66.535433070866134</v>
      </c>
      <c r="N53">
        <f t="shared" si="12"/>
        <v>5</v>
      </c>
      <c r="O53">
        <f t="shared" si="13"/>
        <v>6.5</v>
      </c>
      <c r="P53" t="str">
        <f t="shared" si="14"/>
        <v>5' 6.5"</v>
      </c>
      <c r="Q53">
        <f t="shared" si="15"/>
        <v>236</v>
      </c>
      <c r="U53">
        <f>_xlfn.XLOOKUP(A53,'January 2023 Data'!$A$4:$A$49,'January 2023 Data'!$H$4:$H$49,,0)</f>
        <v>169</v>
      </c>
      <c r="V53">
        <f t="shared" si="7"/>
        <v>0</v>
      </c>
      <c r="X53" t="str">
        <f t="shared" si="8"/>
        <v xml:space="preserve">Terutsuyoshi, </v>
      </c>
    </row>
    <row r="54" spans="1:24">
      <c r="A54" s="1" t="s">
        <v>107</v>
      </c>
      <c r="B54" s="1"/>
      <c r="C54" s="1" t="s">
        <v>151</v>
      </c>
      <c r="D54" s="1" t="s">
        <v>169</v>
      </c>
      <c r="E54" s="1" t="s">
        <v>179</v>
      </c>
      <c r="F54" s="1"/>
      <c r="G54" s="1"/>
      <c r="H54" s="1" t="e">
        <f>_xlfn.XLOOKUP(G54,'rank lookup'!$A$1:$A$21,'rank lookup'!$B$1:$B$21,,0)</f>
        <v>#N/A</v>
      </c>
      <c r="I54" s="1"/>
      <c r="J54" s="19">
        <v>185</v>
      </c>
      <c r="K54" s="19">
        <v>181</v>
      </c>
      <c r="L54" s="5">
        <f t="shared" si="10"/>
        <v>52.885317750182615</v>
      </c>
      <c r="M54" s="4">
        <f t="shared" si="11"/>
        <v>72.834645669291348</v>
      </c>
      <c r="N54">
        <f t="shared" si="12"/>
        <v>6</v>
      </c>
      <c r="O54">
        <f t="shared" si="13"/>
        <v>0.8</v>
      </c>
      <c r="P54" t="str">
        <f t="shared" si="14"/>
        <v>6' 0.8"</v>
      </c>
      <c r="Q54">
        <f t="shared" si="15"/>
        <v>399</v>
      </c>
      <c r="X54" t="str">
        <f t="shared" si="8"/>
        <v xml:space="preserve">Yutakayama, </v>
      </c>
    </row>
  </sheetData>
  <autoFilter ref="A3:Q38" xr:uid="{7067DD38-AD06-4250-9520-A2F29B57D9C0}">
    <sortState xmlns:xlrd2="http://schemas.microsoft.com/office/spreadsheetml/2017/richdata2" ref="A4:Q54">
      <sortCondition ref="H3:H38"/>
    </sortState>
  </autoFilter>
  <hyperlinks>
    <hyperlink ref="C2" r:id="rId1" xr:uid="{45EC4F3C-0ED0-4FD5-A1B4-9C029D3A8944}"/>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C281A-04EB-414D-95D4-C2F7EC9BB789}">
  <dimension ref="A1:AA53"/>
  <sheetViews>
    <sheetView zoomScale="106" zoomScaleNormal="106" workbookViewId="0">
      <pane xSplit="1" ySplit="3" topLeftCell="H4" activePane="bottomRight" state="frozen"/>
      <selection pane="topRight" activeCell="B1" sqref="B1"/>
      <selection pane="bottomLeft" activeCell="A4" sqref="A4"/>
      <selection pane="bottomRight" activeCell="I6" sqref="I6"/>
    </sheetView>
  </sheetViews>
  <sheetFormatPr defaultRowHeight="14.5"/>
  <cols>
    <col min="1" max="8" width="21.1796875" customWidth="1"/>
    <col min="11" max="11" width="11.26953125" bestFit="1" customWidth="1"/>
    <col min="12" max="12" width="8.7265625" style="4"/>
    <col min="19" max="19" width="9.54296875" customWidth="1"/>
    <col min="23" max="23" width="17.81640625" customWidth="1"/>
  </cols>
  <sheetData>
    <row r="1" spans="1:27">
      <c r="C1" t="s">
        <v>174</v>
      </c>
      <c r="I1" t="s">
        <v>197</v>
      </c>
    </row>
    <row r="2" spans="1:27">
      <c r="C2" s="17" t="s">
        <v>162</v>
      </c>
      <c r="D2" s="17"/>
      <c r="E2" s="17"/>
      <c r="F2" s="17"/>
      <c r="Q2">
        <f>MAX(Q4:Q45)</f>
        <v>41</v>
      </c>
      <c r="R2">
        <f>MAX(R4:R45)</f>
        <v>42</v>
      </c>
      <c r="S2">
        <f>MAX(S4:S45)</f>
        <v>42</v>
      </c>
    </row>
    <row r="3" spans="1:27">
      <c r="A3" t="s">
        <v>3</v>
      </c>
      <c r="B3" t="s">
        <v>11</v>
      </c>
      <c r="C3" t="s">
        <v>131</v>
      </c>
      <c r="D3" t="s">
        <v>163</v>
      </c>
      <c r="E3" t="s">
        <v>175</v>
      </c>
      <c r="F3" t="s">
        <v>185</v>
      </c>
      <c r="G3" t="s">
        <v>177</v>
      </c>
      <c r="H3" t="s">
        <v>164</v>
      </c>
      <c r="I3" t="s">
        <v>5</v>
      </c>
      <c r="J3" t="s">
        <v>4</v>
      </c>
      <c r="K3" t="s">
        <v>26</v>
      </c>
      <c r="L3" s="4" t="s">
        <v>6</v>
      </c>
      <c r="M3" t="s">
        <v>7</v>
      </c>
      <c r="N3" t="s">
        <v>8</v>
      </c>
      <c r="O3" t="s">
        <v>9</v>
      </c>
      <c r="P3" t="s">
        <v>10</v>
      </c>
      <c r="Q3" t="s">
        <v>171</v>
      </c>
      <c r="R3" t="s">
        <v>172</v>
      </c>
      <c r="S3" t="s">
        <v>173</v>
      </c>
      <c r="T3" t="s">
        <v>216</v>
      </c>
      <c r="U3" s="14" t="s">
        <v>182</v>
      </c>
      <c r="V3" t="s">
        <v>217</v>
      </c>
      <c r="W3" t="s">
        <v>219</v>
      </c>
      <c r="Y3">
        <f>SUM(Y4:Y10)</f>
        <v>38</v>
      </c>
      <c r="Z3">
        <f>Y3-Y5</f>
        <v>21</v>
      </c>
      <c r="AA3">
        <f>Z3/Y3</f>
        <v>0.55263157894736847</v>
      </c>
    </row>
    <row r="4" spans="1:27">
      <c r="A4" s="1" t="s">
        <v>86</v>
      </c>
      <c r="B4" s="1">
        <v>7</v>
      </c>
      <c r="C4" s="1" t="s">
        <v>14</v>
      </c>
      <c r="D4" s="1" t="s">
        <v>14</v>
      </c>
      <c r="E4" s="1" t="s">
        <v>14</v>
      </c>
      <c r="F4" s="1" t="s">
        <v>14</v>
      </c>
      <c r="G4" s="1">
        <f>_xlfn.XLOOKUP(F4,'rank lookup'!$A$1:$A$21,'rank lookup'!$B$1:$B$21,,0)</f>
        <v>1</v>
      </c>
      <c r="H4" s="1"/>
      <c r="I4" s="19">
        <v>192</v>
      </c>
      <c r="J4" s="19">
        <v>180</v>
      </c>
      <c r="K4" s="5">
        <f t="shared" ref="K4:K35" si="0">J4/(I4*I4)*10000</f>
        <v>48.828125</v>
      </c>
      <c r="L4" s="4">
        <f t="shared" ref="L4:L35" si="1">CONVERT(I4,"cm","in")</f>
        <v>75.59055118110237</v>
      </c>
      <c r="M4">
        <f t="shared" ref="M4:M35" si="2">_xlfn.FLOOR.MATH(L4/12)</f>
        <v>6</v>
      </c>
      <c r="N4">
        <f t="shared" ref="N4:N35" si="3">ROUND(L4-M4*12,1)</f>
        <v>3.6</v>
      </c>
      <c r="O4" t="str">
        <f t="shared" ref="O4:O35" si="4">M4&amp;"' "&amp;N4&amp;""""</f>
        <v>6' 3.6"</v>
      </c>
      <c r="P4">
        <f t="shared" ref="P4:P35" si="5">ROUND(CONVERT(J4,"kg","lbm"),0)</f>
        <v>397</v>
      </c>
      <c r="Q4">
        <f>_xlfn.RANK.EQ(I4,I$4:I$45)</f>
        <v>3</v>
      </c>
      <c r="R4">
        <f>_xlfn.RANK.EQ(J4,J$4:J$45)</f>
        <v>5</v>
      </c>
      <c r="S4">
        <f>_xlfn.RANK.EQ(K4,K$4:K$45)</f>
        <v>15</v>
      </c>
      <c r="T4">
        <f>_xlfn.XLOOKUP(A4,'January 2023 Data'!$A$4:$A$49,'January 2023 Data'!$H$4:$H$49,,0)</f>
        <v>192</v>
      </c>
      <c r="U4">
        <f>I4-T4</f>
        <v>0</v>
      </c>
      <c r="V4" t="s">
        <v>218</v>
      </c>
      <c r="W4" t="str">
        <f>A4&amp;", "&amp;V4</f>
        <v>Terunofuji, OUT</v>
      </c>
      <c r="X4" cm="1">
        <f t="array" ref="X4:X10">_xlfn.SEQUENCE(7,1,-1)</f>
        <v>-1</v>
      </c>
      <c r="Y4">
        <f>COUNTIF(U$4:U$45,X4)</f>
        <v>7</v>
      </c>
    </row>
    <row r="5" spans="1:27">
      <c r="A5" s="1" t="s">
        <v>123</v>
      </c>
      <c r="B5" s="1">
        <v>2</v>
      </c>
      <c r="C5" s="1" t="s">
        <v>39</v>
      </c>
      <c r="D5" s="1" t="s">
        <v>39</v>
      </c>
      <c r="E5" s="1" t="s">
        <v>39</v>
      </c>
      <c r="F5" s="1" t="s">
        <v>39</v>
      </c>
      <c r="G5" s="1">
        <f>_xlfn.XLOOKUP(F5,'rank lookup'!$A$1:$A$21,'rank lookup'!$B$1:$B$21,,0)</f>
        <v>2</v>
      </c>
      <c r="H5" s="1"/>
      <c r="I5" s="19">
        <v>175</v>
      </c>
      <c r="J5" s="19">
        <v>165</v>
      </c>
      <c r="K5" s="5">
        <f t="shared" si="0"/>
        <v>53.877551020408163</v>
      </c>
      <c r="L5" s="4">
        <f t="shared" si="1"/>
        <v>68.897637795275585</v>
      </c>
      <c r="M5">
        <f t="shared" si="2"/>
        <v>5</v>
      </c>
      <c r="N5">
        <f t="shared" si="3"/>
        <v>8.9</v>
      </c>
      <c r="O5" t="str">
        <f t="shared" si="4"/>
        <v>5' 8.9"</v>
      </c>
      <c r="P5">
        <f t="shared" si="5"/>
        <v>364</v>
      </c>
      <c r="Q5">
        <f t="shared" ref="Q5:S45" si="6">_xlfn.RANK.EQ(I5,I$4:I$45)</f>
        <v>38</v>
      </c>
      <c r="R5">
        <f t="shared" si="6"/>
        <v>16</v>
      </c>
      <c r="S5">
        <f t="shared" si="6"/>
        <v>5</v>
      </c>
      <c r="T5">
        <f>_xlfn.XLOOKUP(A5,'January 2023 Data'!$A$4:$A$49,'January 2023 Data'!$H$4:$H$49,,0)</f>
        <v>175</v>
      </c>
      <c r="U5">
        <f t="shared" ref="U5:U53" si="7">I5-T5</f>
        <v>0</v>
      </c>
      <c r="V5" t="s">
        <v>218</v>
      </c>
      <c r="W5" t="str">
        <f t="shared" ref="W5:W53" si="8">A5&amp;", "&amp;V5</f>
        <v>Takakeisho, OUT</v>
      </c>
      <c r="X5">
        <v>0</v>
      </c>
      <c r="Y5">
        <f t="shared" ref="Y5:Y10" si="9">COUNTIF(U$4:U$45,X5)</f>
        <v>17</v>
      </c>
    </row>
    <row r="6" spans="1:27" ht="25">
      <c r="A6" s="1" t="s">
        <v>114</v>
      </c>
      <c r="B6" s="1"/>
      <c r="C6" s="1" t="s">
        <v>31</v>
      </c>
      <c r="D6" s="1" t="s">
        <v>31</v>
      </c>
      <c r="E6" s="1" t="s">
        <v>31</v>
      </c>
      <c r="F6" s="1" t="s">
        <v>31</v>
      </c>
      <c r="G6" s="1">
        <f>_xlfn.XLOOKUP(F6,'rank lookup'!$A$1:$A$21,'rank lookup'!$B$1:$B$21,,0)</f>
        <v>3</v>
      </c>
      <c r="H6" s="1" t="s">
        <v>196</v>
      </c>
      <c r="I6" s="19">
        <v>182</v>
      </c>
      <c r="J6" s="19">
        <v>132</v>
      </c>
      <c r="K6" s="5">
        <f t="shared" si="0"/>
        <v>39.850259630479414</v>
      </c>
      <c r="L6" s="4">
        <f t="shared" si="1"/>
        <v>71.653543307086608</v>
      </c>
      <c r="M6">
        <f t="shared" si="2"/>
        <v>5</v>
      </c>
      <c r="N6">
        <f t="shared" si="3"/>
        <v>11.7</v>
      </c>
      <c r="O6" t="str">
        <f t="shared" si="4"/>
        <v>5' 11.7"</v>
      </c>
      <c r="P6">
        <f t="shared" si="5"/>
        <v>291</v>
      </c>
      <c r="Q6">
        <f t="shared" si="6"/>
        <v>30</v>
      </c>
      <c r="R6">
        <f t="shared" si="6"/>
        <v>40</v>
      </c>
      <c r="S6">
        <f t="shared" si="6"/>
        <v>42</v>
      </c>
      <c r="T6">
        <f>_xlfn.XLOOKUP(A6,'January 2023 Data'!$A$4:$A$49,'January 2023 Data'!$H$4:$H$49,,0)</f>
        <v>183</v>
      </c>
      <c r="U6">
        <f t="shared" si="7"/>
        <v>-1</v>
      </c>
      <c r="V6" s="21" t="s">
        <v>220</v>
      </c>
      <c r="W6" t="str">
        <f t="shared" si="8"/>
        <v>Wakatakakage, 7-6</v>
      </c>
      <c r="X6">
        <v>1</v>
      </c>
      <c r="Y6">
        <f t="shared" si="9"/>
        <v>11</v>
      </c>
    </row>
    <row r="7" spans="1:27" ht="25">
      <c r="A7" s="1" t="s">
        <v>95</v>
      </c>
      <c r="B7" s="1"/>
      <c r="C7" s="1" t="s">
        <v>31</v>
      </c>
      <c r="D7" s="1" t="s">
        <v>31</v>
      </c>
      <c r="E7" s="1" t="s">
        <v>31</v>
      </c>
      <c r="F7" s="1" t="s">
        <v>31</v>
      </c>
      <c r="G7" s="1">
        <f>_xlfn.XLOOKUP(F7,'rank lookup'!$A$1:$A$21,'rank lookup'!$B$1:$B$21,,0)</f>
        <v>3</v>
      </c>
      <c r="H7" s="1" t="s">
        <v>195</v>
      </c>
      <c r="I7" s="19">
        <v>188</v>
      </c>
      <c r="J7" s="19">
        <v>141</v>
      </c>
      <c r="K7" s="5">
        <f t="shared" si="0"/>
        <v>39.89361702127659</v>
      </c>
      <c r="L7" s="4">
        <f t="shared" si="1"/>
        <v>74.015748031496059</v>
      </c>
      <c r="M7">
        <f t="shared" si="2"/>
        <v>6</v>
      </c>
      <c r="N7">
        <f t="shared" si="3"/>
        <v>2</v>
      </c>
      <c r="O7" t="str">
        <f t="shared" si="4"/>
        <v>6' 2"</v>
      </c>
      <c r="P7">
        <f t="shared" si="5"/>
        <v>311</v>
      </c>
      <c r="Q7">
        <f t="shared" si="6"/>
        <v>12</v>
      </c>
      <c r="R7">
        <f t="shared" si="6"/>
        <v>35</v>
      </c>
      <c r="S7">
        <f t="shared" si="6"/>
        <v>41</v>
      </c>
      <c r="T7">
        <f>_xlfn.XLOOKUP(A7,'January 2023 Data'!$A$4:$A$49,'January 2023 Data'!$H$4:$H$49,,0)</f>
        <v>185</v>
      </c>
      <c r="U7">
        <f t="shared" si="7"/>
        <v>3</v>
      </c>
      <c r="V7" s="22" t="s">
        <v>221</v>
      </c>
      <c r="W7" t="str">
        <f t="shared" si="8"/>
        <v>Hoshoryu, 9-4</v>
      </c>
      <c r="X7">
        <v>2</v>
      </c>
      <c r="Y7">
        <f t="shared" si="9"/>
        <v>2</v>
      </c>
    </row>
    <row r="8" spans="1:27">
      <c r="A8" s="1" t="s">
        <v>102</v>
      </c>
      <c r="B8" s="1"/>
      <c r="C8" s="1" t="s">
        <v>42</v>
      </c>
      <c r="D8" s="1" t="s">
        <v>42</v>
      </c>
      <c r="E8" s="1" t="s">
        <v>42</v>
      </c>
      <c r="F8" s="1" t="s">
        <v>31</v>
      </c>
      <c r="G8" s="1">
        <f>_xlfn.XLOOKUP(F8,'rank lookup'!$A$1:$A$21,'rank lookup'!$B$1:$B$21,,0)</f>
        <v>3</v>
      </c>
      <c r="H8" s="1"/>
      <c r="I8" s="19">
        <v>186</v>
      </c>
      <c r="J8" s="19">
        <v>140</v>
      </c>
      <c r="K8" s="5">
        <f t="shared" si="0"/>
        <v>40.467106023817784</v>
      </c>
      <c r="L8" s="4">
        <f t="shared" si="1"/>
        <v>73.228346456692918</v>
      </c>
      <c r="M8">
        <f t="shared" si="2"/>
        <v>6</v>
      </c>
      <c r="N8">
        <f t="shared" si="3"/>
        <v>1.2</v>
      </c>
      <c r="O8" t="str">
        <f t="shared" si="4"/>
        <v>6' 1.2"</v>
      </c>
      <c r="P8">
        <f t="shared" si="5"/>
        <v>309</v>
      </c>
      <c r="Q8">
        <f t="shared" si="6"/>
        <v>18</v>
      </c>
      <c r="R8">
        <f t="shared" si="6"/>
        <v>36</v>
      </c>
      <c r="S8">
        <f t="shared" si="6"/>
        <v>38</v>
      </c>
      <c r="T8">
        <f>_xlfn.XLOOKUP(A8,'January 2023 Data'!$A$4:$A$49,'January 2023 Data'!$H$4:$H$49,,0)</f>
        <v>185</v>
      </c>
      <c r="U8">
        <f t="shared" si="7"/>
        <v>1</v>
      </c>
      <c r="V8" s="22" t="s">
        <v>222</v>
      </c>
      <c r="W8" t="str">
        <f t="shared" si="8"/>
        <v>Kiribayama, 10-3</v>
      </c>
      <c r="X8">
        <v>3</v>
      </c>
      <c r="Y8">
        <f t="shared" si="9"/>
        <v>1</v>
      </c>
    </row>
    <row r="9" spans="1:27">
      <c r="A9" s="1" t="s">
        <v>94</v>
      </c>
      <c r="B9" s="1"/>
      <c r="C9" s="1" t="s">
        <v>136</v>
      </c>
      <c r="D9" s="1" t="s">
        <v>132</v>
      </c>
      <c r="E9" s="1" t="s">
        <v>42</v>
      </c>
      <c r="F9" s="1" t="s">
        <v>42</v>
      </c>
      <c r="G9" s="1">
        <f>_xlfn.XLOOKUP(F9,'rank lookup'!$A$1:$A$21,'rank lookup'!$B$1:$B$21,,0)</f>
        <v>4</v>
      </c>
      <c r="H9" s="1"/>
      <c r="I9" s="19">
        <v>189</v>
      </c>
      <c r="J9" s="19">
        <v>172</v>
      </c>
      <c r="K9" s="5">
        <f t="shared" si="0"/>
        <v>48.150947621847095</v>
      </c>
      <c r="L9" s="4">
        <f t="shared" si="1"/>
        <v>74.409448818897644</v>
      </c>
      <c r="M9">
        <f t="shared" si="2"/>
        <v>6</v>
      </c>
      <c r="N9">
        <f t="shared" si="3"/>
        <v>2.4</v>
      </c>
      <c r="O9" t="str">
        <f t="shared" si="4"/>
        <v>6' 2.4"</v>
      </c>
      <c r="P9">
        <f t="shared" si="5"/>
        <v>379</v>
      </c>
      <c r="Q9">
        <f t="shared" si="6"/>
        <v>9</v>
      </c>
      <c r="R9">
        <f t="shared" si="6"/>
        <v>12</v>
      </c>
      <c r="S9">
        <f t="shared" si="6"/>
        <v>17</v>
      </c>
      <c r="T9">
        <f>_xlfn.XLOOKUP(A9,'January 2023 Data'!$A$4:$A$49,'January 2023 Data'!$H$4:$H$49,,0)</f>
        <v>189</v>
      </c>
      <c r="U9">
        <f t="shared" si="7"/>
        <v>0</v>
      </c>
      <c r="V9" s="22" t="s">
        <v>221</v>
      </c>
      <c r="W9" t="str">
        <f t="shared" si="8"/>
        <v>Kotonowaka, 9-4</v>
      </c>
      <c r="X9">
        <v>4</v>
      </c>
      <c r="Y9">
        <f t="shared" si="9"/>
        <v>0</v>
      </c>
    </row>
    <row r="10" spans="1:27" ht="25">
      <c r="A10" s="1" t="s">
        <v>100</v>
      </c>
      <c r="B10" s="1"/>
      <c r="C10" s="1" t="s">
        <v>141</v>
      </c>
      <c r="D10" s="1" t="s">
        <v>139</v>
      </c>
      <c r="E10" s="1" t="s">
        <v>42</v>
      </c>
      <c r="F10" s="1" t="s">
        <v>42</v>
      </c>
      <c r="G10" s="1">
        <f>_xlfn.XLOOKUP(F10,'rank lookup'!$A$1:$A$21,'rank lookup'!$B$1:$B$21,,0)</f>
        <v>4</v>
      </c>
      <c r="H10" s="1" t="s">
        <v>198</v>
      </c>
      <c r="I10" s="19">
        <v>187</v>
      </c>
      <c r="J10" s="19">
        <v>143</v>
      </c>
      <c r="K10" s="5">
        <f t="shared" si="0"/>
        <v>40.893362692670649</v>
      </c>
      <c r="L10" s="4">
        <f t="shared" si="1"/>
        <v>73.622047244094489</v>
      </c>
      <c r="M10">
        <f t="shared" si="2"/>
        <v>6</v>
      </c>
      <c r="N10">
        <f t="shared" si="3"/>
        <v>1.6</v>
      </c>
      <c r="O10" t="str">
        <f t="shared" si="4"/>
        <v>6' 1.6"</v>
      </c>
      <c r="P10">
        <f t="shared" si="5"/>
        <v>315</v>
      </c>
      <c r="Q10">
        <f t="shared" si="6"/>
        <v>16</v>
      </c>
      <c r="R10">
        <f t="shared" si="6"/>
        <v>33</v>
      </c>
      <c r="S10">
        <f t="shared" si="6"/>
        <v>37</v>
      </c>
      <c r="T10">
        <f>_xlfn.XLOOKUP(A10,'January 2023 Data'!$A$4:$A$49,'January 2023 Data'!$H$4:$H$49,,0)</f>
        <v>186</v>
      </c>
      <c r="U10">
        <f t="shared" si="7"/>
        <v>1</v>
      </c>
      <c r="V10" s="22" t="s">
        <v>222</v>
      </c>
      <c r="W10" t="str">
        <f t="shared" si="8"/>
        <v>Wakamotoharu, 10-3</v>
      </c>
      <c r="X10">
        <v>5</v>
      </c>
      <c r="Y10">
        <f t="shared" si="9"/>
        <v>0</v>
      </c>
    </row>
    <row r="11" spans="1:27">
      <c r="A11" s="1" t="s">
        <v>112</v>
      </c>
      <c r="B11" s="1">
        <v>1</v>
      </c>
      <c r="C11" s="1" t="s">
        <v>31</v>
      </c>
      <c r="D11" s="1" t="s">
        <v>42</v>
      </c>
      <c r="E11" s="1" t="s">
        <v>132</v>
      </c>
      <c r="F11" s="1" t="s">
        <v>42</v>
      </c>
      <c r="G11" s="1">
        <f>_xlfn.XLOOKUP(F11,'rank lookup'!$A$1:$A$21,'rank lookup'!$B$1:$B$21,,0)</f>
        <v>4</v>
      </c>
      <c r="H11" s="1"/>
      <c r="I11" s="19">
        <v>182</v>
      </c>
      <c r="J11" s="19">
        <v>165</v>
      </c>
      <c r="K11" s="5">
        <f t="shared" si="0"/>
        <v>49.812824538099264</v>
      </c>
      <c r="L11" s="4">
        <f t="shared" si="1"/>
        <v>71.653543307086608</v>
      </c>
      <c r="M11">
        <f t="shared" si="2"/>
        <v>5</v>
      </c>
      <c r="N11">
        <f t="shared" si="3"/>
        <v>11.7</v>
      </c>
      <c r="O11" t="str">
        <f t="shared" si="4"/>
        <v>5' 11.7"</v>
      </c>
      <c r="P11">
        <f t="shared" si="5"/>
        <v>364</v>
      </c>
      <c r="Q11">
        <f t="shared" si="6"/>
        <v>30</v>
      </c>
      <c r="R11">
        <f t="shared" si="6"/>
        <v>16</v>
      </c>
      <c r="S11">
        <f t="shared" si="6"/>
        <v>11</v>
      </c>
      <c r="T11">
        <f>_xlfn.XLOOKUP(A11,'January 2023 Data'!$A$4:$A$49,'January 2023 Data'!$H$4:$H$49,,0)</f>
        <v>182</v>
      </c>
      <c r="U11">
        <f t="shared" si="7"/>
        <v>0</v>
      </c>
      <c r="V11" s="22" t="s">
        <v>223</v>
      </c>
      <c r="W11" t="str">
        <f t="shared" si="8"/>
        <v>Daieisho, 11-2</v>
      </c>
    </row>
    <row r="12" spans="1:27">
      <c r="A12" s="1" t="s">
        <v>124</v>
      </c>
      <c r="B12" s="1"/>
      <c r="C12" s="1" t="s">
        <v>132</v>
      </c>
      <c r="D12" s="1" t="s">
        <v>42</v>
      </c>
      <c r="E12" s="1" t="s">
        <v>132</v>
      </c>
      <c r="F12" s="1" t="s">
        <v>42</v>
      </c>
      <c r="G12" s="1">
        <f>_xlfn.XLOOKUP(F12,'rank lookup'!$A$1:$A$21,'rank lookup'!$B$1:$B$21,,0)</f>
        <v>4</v>
      </c>
      <c r="H12" s="1"/>
      <c r="I12" s="19">
        <v>174</v>
      </c>
      <c r="J12" s="19">
        <v>133</v>
      </c>
      <c r="K12" s="5">
        <f t="shared" si="0"/>
        <v>43.929184832870916</v>
      </c>
      <c r="L12" s="4">
        <f t="shared" si="1"/>
        <v>68.503937007874015</v>
      </c>
      <c r="M12">
        <f t="shared" si="2"/>
        <v>5</v>
      </c>
      <c r="N12">
        <f t="shared" si="3"/>
        <v>8.5</v>
      </c>
      <c r="O12" t="str">
        <f t="shared" si="4"/>
        <v>5' 8.5"</v>
      </c>
      <c r="P12">
        <f t="shared" si="5"/>
        <v>293</v>
      </c>
      <c r="Q12">
        <f t="shared" si="6"/>
        <v>40</v>
      </c>
      <c r="R12">
        <f t="shared" si="6"/>
        <v>39</v>
      </c>
      <c r="S12">
        <f t="shared" si="6"/>
        <v>28</v>
      </c>
      <c r="T12">
        <f>_xlfn.XLOOKUP(A12,'January 2023 Data'!$A$4:$A$49,'January 2023 Data'!$H$4:$H$49,,0)</f>
        <v>174</v>
      </c>
      <c r="U12">
        <f t="shared" si="7"/>
        <v>0</v>
      </c>
      <c r="V12" s="22" t="s">
        <v>224</v>
      </c>
      <c r="W12" t="str">
        <f t="shared" si="8"/>
        <v>Tobizaru, 4-9</v>
      </c>
    </row>
    <row r="13" spans="1:27" ht="25">
      <c r="A13" s="1" t="s">
        <v>109</v>
      </c>
      <c r="B13" s="1">
        <v>1</v>
      </c>
      <c r="C13" s="1" t="s">
        <v>39</v>
      </c>
      <c r="D13" s="1" t="s">
        <v>39</v>
      </c>
      <c r="E13" s="1" t="s">
        <v>31</v>
      </c>
      <c r="F13" s="1" t="s">
        <v>132</v>
      </c>
      <c r="G13" s="1">
        <f>_xlfn.XLOOKUP(F13,'rank lookup'!$A$1:$A$21,'rank lookup'!$B$1:$B$21,,0)</f>
        <v>5</v>
      </c>
      <c r="H13" s="1" t="s">
        <v>199</v>
      </c>
      <c r="I13" s="19">
        <v>184</v>
      </c>
      <c r="J13" s="19">
        <v>160</v>
      </c>
      <c r="K13" s="5">
        <f t="shared" si="0"/>
        <v>47.258979206049148</v>
      </c>
      <c r="L13" s="4">
        <f t="shared" si="1"/>
        <v>72.440944881889763</v>
      </c>
      <c r="M13">
        <f t="shared" si="2"/>
        <v>6</v>
      </c>
      <c r="N13">
        <f t="shared" si="3"/>
        <v>0.4</v>
      </c>
      <c r="O13" t="str">
        <f t="shared" si="4"/>
        <v>6' 0.4"</v>
      </c>
      <c r="P13">
        <f t="shared" si="5"/>
        <v>353</v>
      </c>
      <c r="Q13">
        <f t="shared" si="6"/>
        <v>24</v>
      </c>
      <c r="R13">
        <f t="shared" si="6"/>
        <v>21</v>
      </c>
      <c r="S13">
        <f t="shared" si="6"/>
        <v>20</v>
      </c>
      <c r="T13">
        <f>_xlfn.XLOOKUP(A13,'January 2023 Data'!$A$4:$A$49,'January 2023 Data'!$H$4:$H$49,,0)</f>
        <v>183</v>
      </c>
      <c r="U13">
        <f t="shared" si="7"/>
        <v>1</v>
      </c>
      <c r="V13" s="22" t="s">
        <v>225</v>
      </c>
      <c r="W13" t="str">
        <f t="shared" si="8"/>
        <v>Shodai, 8-5</v>
      </c>
    </row>
    <row r="14" spans="1:27">
      <c r="A14" s="1" t="s">
        <v>92</v>
      </c>
      <c r="B14" s="1">
        <v>2</v>
      </c>
      <c r="C14" s="1" t="s">
        <v>137</v>
      </c>
      <c r="D14" s="1" t="s">
        <v>42</v>
      </c>
      <c r="E14" s="1" t="s">
        <v>136</v>
      </c>
      <c r="F14" s="1" t="s">
        <v>132</v>
      </c>
      <c r="G14" s="1">
        <f>_xlfn.XLOOKUP(F14,'rank lookup'!$A$1:$A$21,'rank lookup'!$B$1:$B$21,,0)</f>
        <v>5</v>
      </c>
      <c r="H14" s="1"/>
      <c r="I14" s="19">
        <v>189</v>
      </c>
      <c r="J14" s="19">
        <v>174</v>
      </c>
      <c r="K14" s="5">
        <f t="shared" si="0"/>
        <v>48.710842361636011</v>
      </c>
      <c r="L14" s="4">
        <f t="shared" si="1"/>
        <v>74.409448818897644</v>
      </c>
      <c r="M14">
        <f t="shared" si="2"/>
        <v>6</v>
      </c>
      <c r="N14">
        <f t="shared" si="3"/>
        <v>2.4</v>
      </c>
      <c r="O14" t="str">
        <f t="shared" si="4"/>
        <v>6' 2.4"</v>
      </c>
      <c r="P14">
        <f t="shared" si="5"/>
        <v>384</v>
      </c>
      <c r="Q14">
        <f t="shared" si="6"/>
        <v>9</v>
      </c>
      <c r="R14">
        <f t="shared" si="6"/>
        <v>10</v>
      </c>
      <c r="S14">
        <f t="shared" si="6"/>
        <v>16</v>
      </c>
      <c r="T14">
        <f>_xlfn.XLOOKUP(A14,'January 2023 Data'!$A$4:$A$49,'January 2023 Data'!$H$4:$H$49,,0)</f>
        <v>189</v>
      </c>
      <c r="U14">
        <f t="shared" si="7"/>
        <v>0</v>
      </c>
      <c r="V14" s="22" t="s">
        <v>226</v>
      </c>
      <c r="W14" t="str">
        <f t="shared" si="8"/>
        <v>Tamawashi, 3-10</v>
      </c>
    </row>
    <row r="15" spans="1:27" ht="25">
      <c r="A15" s="1" t="s">
        <v>93</v>
      </c>
      <c r="B15" s="1">
        <v>1</v>
      </c>
      <c r="C15" s="1" t="s">
        <v>42</v>
      </c>
      <c r="D15" s="1" t="s">
        <v>143</v>
      </c>
      <c r="E15" s="1" t="s">
        <v>137</v>
      </c>
      <c r="F15" s="1" t="s">
        <v>136</v>
      </c>
      <c r="G15" s="1">
        <f>_xlfn.XLOOKUP(F15,'rank lookup'!$A$1:$A$21,'rank lookup'!$B$1:$B$21,,0)</f>
        <v>6</v>
      </c>
      <c r="H15" s="1" t="s">
        <v>200</v>
      </c>
      <c r="I15" s="19">
        <v>186</v>
      </c>
      <c r="J15" s="19">
        <v>156</v>
      </c>
      <c r="K15" s="5">
        <f t="shared" si="0"/>
        <v>45.091918140825534</v>
      </c>
      <c r="L15" s="4">
        <f t="shared" si="1"/>
        <v>73.228346456692918</v>
      </c>
      <c r="M15">
        <f t="shared" si="2"/>
        <v>6</v>
      </c>
      <c r="N15">
        <f t="shared" si="3"/>
        <v>1.2</v>
      </c>
      <c r="O15" t="str">
        <f t="shared" si="4"/>
        <v>6' 1.2"</v>
      </c>
      <c r="P15">
        <f t="shared" si="5"/>
        <v>344</v>
      </c>
      <c r="Q15">
        <f t="shared" si="6"/>
        <v>18</v>
      </c>
      <c r="R15">
        <f t="shared" si="6"/>
        <v>24</v>
      </c>
      <c r="S15">
        <f t="shared" si="6"/>
        <v>23</v>
      </c>
      <c r="T15">
        <f>_xlfn.XLOOKUP(A15,'January 2023 Data'!$A$4:$A$49,'January 2023 Data'!$H$4:$H$49,,0)</f>
        <v>187</v>
      </c>
      <c r="U15">
        <f t="shared" si="7"/>
        <v>-1</v>
      </c>
      <c r="V15" s="22" t="s">
        <v>225</v>
      </c>
      <c r="W15" t="str">
        <f t="shared" si="8"/>
        <v>Abi, 8-5</v>
      </c>
    </row>
    <row r="16" spans="1:27" ht="25">
      <c r="A16" t="s">
        <v>149</v>
      </c>
      <c r="C16" s="1" t="s">
        <v>148</v>
      </c>
      <c r="D16" s="1" t="s">
        <v>141</v>
      </c>
      <c r="E16" s="1" t="s">
        <v>140</v>
      </c>
      <c r="F16" s="1" t="s">
        <v>136</v>
      </c>
      <c r="G16" s="1">
        <f>_xlfn.XLOOKUP(F16,'rank lookup'!$A$1:$A$21,'rank lookup'!$B$1:$B$21,,0)</f>
        <v>6</v>
      </c>
      <c r="H16" s="1" t="s">
        <v>201</v>
      </c>
      <c r="I16" s="20">
        <v>188</v>
      </c>
      <c r="J16" s="19">
        <v>154</v>
      </c>
      <c r="K16" s="5">
        <f t="shared" si="0"/>
        <v>43.571751923947488</v>
      </c>
      <c r="L16" s="4">
        <f t="shared" si="1"/>
        <v>74.015748031496059</v>
      </c>
      <c r="M16">
        <f t="shared" si="2"/>
        <v>6</v>
      </c>
      <c r="N16">
        <f t="shared" si="3"/>
        <v>2</v>
      </c>
      <c r="O16" t="str">
        <f t="shared" si="4"/>
        <v>6' 2"</v>
      </c>
      <c r="P16">
        <f t="shared" si="5"/>
        <v>340</v>
      </c>
      <c r="Q16">
        <f t="shared" si="6"/>
        <v>12</v>
      </c>
      <c r="R16">
        <f t="shared" si="6"/>
        <v>27</v>
      </c>
      <c r="S16">
        <f t="shared" si="6"/>
        <v>29</v>
      </c>
      <c r="T16">
        <f>_xlfn.XLOOKUP(A16,'January 2023 Data'!$A$4:$A$49,'January 2023 Data'!$H$4:$H$49,,0)</f>
        <v>187</v>
      </c>
      <c r="U16">
        <f t="shared" si="7"/>
        <v>1</v>
      </c>
      <c r="V16" s="22" t="s">
        <v>227</v>
      </c>
      <c r="W16" t="str">
        <f t="shared" si="8"/>
        <v>Ryuden, 8-12</v>
      </c>
    </row>
    <row r="17" spans="1:23">
      <c r="A17" s="1" t="s">
        <v>116</v>
      </c>
      <c r="B17" s="1">
        <v>2</v>
      </c>
      <c r="C17" s="1" t="s">
        <v>39</v>
      </c>
      <c r="D17" s="1" t="s">
        <v>31</v>
      </c>
      <c r="E17" s="1" t="s">
        <v>136</v>
      </c>
      <c r="F17" s="1" t="s">
        <v>137</v>
      </c>
      <c r="G17" s="1">
        <f>_xlfn.XLOOKUP(F17,'rank lookup'!$A$1:$A$21,'rank lookup'!$B$1:$B$21,,0)</f>
        <v>7</v>
      </c>
      <c r="H17" s="1"/>
      <c r="I17" s="19">
        <v>179</v>
      </c>
      <c r="J17" s="19">
        <v>170</v>
      </c>
      <c r="K17" s="5">
        <f t="shared" si="0"/>
        <v>53.057020692238069</v>
      </c>
      <c r="L17" s="4">
        <f t="shared" si="1"/>
        <v>70.472440944881896</v>
      </c>
      <c r="M17">
        <f t="shared" si="2"/>
        <v>5</v>
      </c>
      <c r="N17">
        <f t="shared" si="3"/>
        <v>10.5</v>
      </c>
      <c r="O17" t="str">
        <f t="shared" si="4"/>
        <v>5' 10.5"</v>
      </c>
      <c r="P17">
        <f t="shared" si="5"/>
        <v>375</v>
      </c>
      <c r="Q17">
        <f t="shared" si="6"/>
        <v>34</v>
      </c>
      <c r="R17">
        <f t="shared" si="6"/>
        <v>15</v>
      </c>
      <c r="S17">
        <f t="shared" si="6"/>
        <v>6</v>
      </c>
      <c r="T17">
        <f>_xlfn.XLOOKUP(A17,'January 2023 Data'!$A$4:$A$49,'January 2023 Data'!$H$4:$H$49,,0)</f>
        <v>179</v>
      </c>
      <c r="U17">
        <f t="shared" si="7"/>
        <v>0</v>
      </c>
      <c r="V17" s="22" t="s">
        <v>224</v>
      </c>
      <c r="W17" t="str">
        <f t="shared" si="8"/>
        <v>Mitakeumi, 4-9</v>
      </c>
    </row>
    <row r="18" spans="1:23" ht="25">
      <c r="A18" s="1" t="s">
        <v>138</v>
      </c>
      <c r="C18" s="1" t="s">
        <v>139</v>
      </c>
      <c r="D18" s="1" t="s">
        <v>141</v>
      </c>
      <c r="E18" s="1" t="s">
        <v>140</v>
      </c>
      <c r="F18" s="1" t="s">
        <v>137</v>
      </c>
      <c r="G18" s="1">
        <f>_xlfn.XLOOKUP(F18,'rank lookup'!$A$1:$A$21,'rank lookup'!$B$1:$B$21,,0)</f>
        <v>7</v>
      </c>
      <c r="H18" s="1" t="s">
        <v>202</v>
      </c>
      <c r="I18" s="19">
        <v>185</v>
      </c>
      <c r="J18" s="19">
        <v>176</v>
      </c>
      <c r="K18" s="5">
        <f t="shared" si="0"/>
        <v>51.424397370343314</v>
      </c>
      <c r="L18" s="4">
        <f t="shared" si="1"/>
        <v>72.834645669291348</v>
      </c>
      <c r="M18">
        <f t="shared" si="2"/>
        <v>6</v>
      </c>
      <c r="N18">
        <f t="shared" si="3"/>
        <v>0.8</v>
      </c>
      <c r="O18" t="str">
        <f t="shared" si="4"/>
        <v>6' 0.8"</v>
      </c>
      <c r="P18">
        <f t="shared" si="5"/>
        <v>388</v>
      </c>
      <c r="Q18">
        <f t="shared" si="6"/>
        <v>21</v>
      </c>
      <c r="R18">
        <f t="shared" si="6"/>
        <v>9</v>
      </c>
      <c r="S18">
        <f t="shared" si="6"/>
        <v>9</v>
      </c>
      <c r="T18">
        <f>_xlfn.XLOOKUP(A18,'January 2023 Data'!$A$4:$A$49,'January 2023 Data'!$H$4:$H$49,,0)</f>
        <v>184</v>
      </c>
      <c r="U18">
        <f t="shared" si="7"/>
        <v>1</v>
      </c>
      <c r="V18" s="22" t="s">
        <v>224</v>
      </c>
      <c r="W18" t="str">
        <f t="shared" si="8"/>
        <v>Nishikigi, 4-9</v>
      </c>
    </row>
    <row r="19" spans="1:23">
      <c r="A19" s="1" t="s">
        <v>117</v>
      </c>
      <c r="B19" s="1"/>
      <c r="C19" s="1" t="s">
        <v>136</v>
      </c>
      <c r="D19" s="1" t="s">
        <v>136</v>
      </c>
      <c r="E19" s="1" t="s">
        <v>42</v>
      </c>
      <c r="F19" s="1" t="s">
        <v>139</v>
      </c>
      <c r="G19" s="1">
        <f>_xlfn.XLOOKUP(F19,'rank lookup'!$A$1:$A$21,'rank lookup'!$B$1:$B$21,,0)</f>
        <v>8</v>
      </c>
      <c r="H19" s="1"/>
      <c r="I19" s="19">
        <v>180</v>
      </c>
      <c r="J19" s="19">
        <v>154</v>
      </c>
      <c r="K19" s="5">
        <f t="shared" si="0"/>
        <v>47.530864197530867</v>
      </c>
      <c r="L19" s="4">
        <f t="shared" si="1"/>
        <v>70.866141732283467</v>
      </c>
      <c r="M19">
        <f t="shared" si="2"/>
        <v>5</v>
      </c>
      <c r="N19">
        <f t="shared" si="3"/>
        <v>10.9</v>
      </c>
      <c r="O19" t="str">
        <f t="shared" si="4"/>
        <v>5' 10.9"</v>
      </c>
      <c r="P19">
        <f t="shared" si="5"/>
        <v>340</v>
      </c>
      <c r="Q19">
        <f t="shared" si="6"/>
        <v>33</v>
      </c>
      <c r="R19">
        <f t="shared" si="6"/>
        <v>27</v>
      </c>
      <c r="S19">
        <f t="shared" si="6"/>
        <v>19</v>
      </c>
      <c r="T19">
        <f>_xlfn.XLOOKUP(A19,'January 2023 Data'!$A$4:$A$49,'January 2023 Data'!$H$4:$H$49,,0)</f>
        <v>180</v>
      </c>
      <c r="U19">
        <f t="shared" si="7"/>
        <v>0</v>
      </c>
      <c r="V19" s="22" t="s">
        <v>224</v>
      </c>
      <c r="W19" t="str">
        <f t="shared" si="8"/>
        <v>Meisei, 4-9</v>
      </c>
    </row>
    <row r="20" spans="1:23" ht="25">
      <c r="A20" s="1" t="s">
        <v>120</v>
      </c>
      <c r="B20" s="1"/>
      <c r="C20" s="1" t="s">
        <v>135</v>
      </c>
      <c r="D20" s="1" t="s">
        <v>147</v>
      </c>
      <c r="E20" s="1" t="s">
        <v>142</v>
      </c>
      <c r="F20" s="1" t="s">
        <v>139</v>
      </c>
      <c r="G20" s="1">
        <f>_xlfn.XLOOKUP(F20,'rank lookup'!$A$1:$A$21,'rank lookup'!$B$1:$B$21,,0)</f>
        <v>8</v>
      </c>
      <c r="H20" s="1" t="s">
        <v>203</v>
      </c>
      <c r="I20" s="19">
        <v>177</v>
      </c>
      <c r="J20" s="19">
        <v>164</v>
      </c>
      <c r="K20" s="5">
        <f t="shared" si="0"/>
        <v>52.347665102620574</v>
      </c>
      <c r="L20" s="4">
        <f t="shared" si="1"/>
        <v>69.685039370078741</v>
      </c>
      <c r="M20">
        <f t="shared" si="2"/>
        <v>5</v>
      </c>
      <c r="N20">
        <f t="shared" si="3"/>
        <v>9.6999999999999993</v>
      </c>
      <c r="O20" t="str">
        <f t="shared" si="4"/>
        <v>5' 9.7"</v>
      </c>
      <c r="P20">
        <f t="shared" si="5"/>
        <v>362</v>
      </c>
      <c r="Q20">
        <f t="shared" si="6"/>
        <v>35</v>
      </c>
      <c r="R20">
        <f t="shared" si="6"/>
        <v>19</v>
      </c>
      <c r="S20">
        <f t="shared" si="6"/>
        <v>7</v>
      </c>
      <c r="T20">
        <f>_xlfn.XLOOKUP(A20,'January 2023 Data'!$A$4:$A$49,'January 2023 Data'!$H$4:$H$49,,0)</f>
        <v>178</v>
      </c>
      <c r="U20">
        <f t="shared" si="7"/>
        <v>-1</v>
      </c>
      <c r="V20" t="s">
        <v>218</v>
      </c>
      <c r="W20" t="str">
        <f t="shared" si="8"/>
        <v>Onosho, OUT</v>
      </c>
    </row>
    <row r="21" spans="1:23">
      <c r="A21" s="1" t="s">
        <v>133</v>
      </c>
      <c r="C21" t="s">
        <v>132</v>
      </c>
      <c r="D21" s="1" t="s">
        <v>137</v>
      </c>
      <c r="E21" s="1" t="s">
        <v>137</v>
      </c>
      <c r="F21" s="1" t="s">
        <v>140</v>
      </c>
      <c r="G21" s="1">
        <f>_xlfn.XLOOKUP(F21,'rank lookup'!$A$1:$A$21,'rank lookup'!$B$1:$B$21,,0)</f>
        <v>9</v>
      </c>
      <c r="H21" s="1"/>
      <c r="I21" s="19">
        <v>171</v>
      </c>
      <c r="J21" s="19">
        <v>117</v>
      </c>
      <c r="K21" s="5">
        <f t="shared" si="0"/>
        <v>40.012311480455523</v>
      </c>
      <c r="L21" s="4">
        <f t="shared" si="1"/>
        <v>67.322834645669289</v>
      </c>
      <c r="M21">
        <f t="shared" si="2"/>
        <v>5</v>
      </c>
      <c r="N21">
        <f t="shared" si="3"/>
        <v>7.3</v>
      </c>
      <c r="O21" t="str">
        <f t="shared" si="4"/>
        <v>5' 7.3"</v>
      </c>
      <c r="P21">
        <f t="shared" si="5"/>
        <v>258</v>
      </c>
      <c r="Q21">
        <f t="shared" si="6"/>
        <v>41</v>
      </c>
      <c r="R21">
        <f t="shared" si="6"/>
        <v>42</v>
      </c>
      <c r="S21">
        <f t="shared" si="6"/>
        <v>40</v>
      </c>
      <c r="T21">
        <f>_xlfn.XLOOKUP(A21,'January 2023 Data'!$A$4:$A$49,'January 2023 Data'!$H$4:$H$49,,0)</f>
        <v>171</v>
      </c>
      <c r="U21">
        <f t="shared" si="7"/>
        <v>0</v>
      </c>
      <c r="V21" s="22" t="s">
        <v>222</v>
      </c>
      <c r="W21" t="str">
        <f t="shared" si="8"/>
        <v>Midorifuji, 10-3</v>
      </c>
    </row>
    <row r="22" spans="1:23" ht="25">
      <c r="A22" t="s">
        <v>146</v>
      </c>
      <c r="C22" s="1" t="s">
        <v>147</v>
      </c>
      <c r="D22" s="1" t="s">
        <v>147</v>
      </c>
      <c r="E22" s="1" t="s">
        <v>150</v>
      </c>
      <c r="F22" s="1" t="s">
        <v>140</v>
      </c>
      <c r="G22" s="1">
        <f>_xlfn.XLOOKUP(F22,'rank lookup'!$A$1:$A$21,'rank lookup'!$B$1:$B$21,,0)</f>
        <v>9</v>
      </c>
      <c r="H22" s="1" t="s">
        <v>204</v>
      </c>
      <c r="I22" s="19">
        <v>191</v>
      </c>
      <c r="J22" s="19">
        <v>163</v>
      </c>
      <c r="K22" s="5">
        <f t="shared" si="0"/>
        <v>44.680792741427041</v>
      </c>
      <c r="L22" s="4">
        <f t="shared" si="1"/>
        <v>75.196850393700785</v>
      </c>
      <c r="M22">
        <f t="shared" si="2"/>
        <v>6</v>
      </c>
      <c r="N22">
        <f t="shared" si="3"/>
        <v>3.2</v>
      </c>
      <c r="O22" t="str">
        <f t="shared" si="4"/>
        <v>6' 3.2"</v>
      </c>
      <c r="P22">
        <f t="shared" si="5"/>
        <v>359</v>
      </c>
      <c r="Q22">
        <f t="shared" si="6"/>
        <v>6</v>
      </c>
      <c r="R22">
        <f t="shared" si="6"/>
        <v>20</v>
      </c>
      <c r="S22">
        <f t="shared" si="6"/>
        <v>24</v>
      </c>
      <c r="T22">
        <f>_xlfn.XLOOKUP(A22,'January 2023 Data'!$A$4:$A$49,'January 2023 Data'!$H$4:$H$49,,0)</f>
        <v>189</v>
      </c>
      <c r="U22">
        <f t="shared" si="7"/>
        <v>2</v>
      </c>
      <c r="V22" s="22" t="s">
        <v>228</v>
      </c>
      <c r="W22" t="str">
        <f t="shared" si="8"/>
        <v>Kotoshoho, 5-8</v>
      </c>
    </row>
    <row r="23" spans="1:23">
      <c r="A23" s="1" t="s">
        <v>111</v>
      </c>
      <c r="B23" s="1"/>
      <c r="C23" s="1" t="s">
        <v>140</v>
      </c>
      <c r="D23" s="1" t="s">
        <v>139</v>
      </c>
      <c r="E23" s="1" t="s">
        <v>139</v>
      </c>
      <c r="F23" s="1" t="s">
        <v>141</v>
      </c>
      <c r="G23" s="1">
        <f>_xlfn.XLOOKUP(F23,'rank lookup'!$A$1:$A$21,'rank lookup'!$B$1:$B$21,,0)</f>
        <v>10</v>
      </c>
      <c r="H23" s="1"/>
      <c r="I23" s="19">
        <v>182</v>
      </c>
      <c r="J23" s="19">
        <v>142</v>
      </c>
      <c r="K23" s="5">
        <f t="shared" si="0"/>
        <v>42.869218693394522</v>
      </c>
      <c r="L23" s="4">
        <f t="shared" si="1"/>
        <v>71.653543307086608</v>
      </c>
      <c r="M23">
        <f t="shared" si="2"/>
        <v>5</v>
      </c>
      <c r="N23">
        <f t="shared" si="3"/>
        <v>11.7</v>
      </c>
      <c r="O23" t="str">
        <f t="shared" si="4"/>
        <v>5' 11.7"</v>
      </c>
      <c r="P23">
        <f t="shared" si="5"/>
        <v>313</v>
      </c>
      <c r="Q23">
        <f t="shared" si="6"/>
        <v>30</v>
      </c>
      <c r="R23">
        <f t="shared" si="6"/>
        <v>34</v>
      </c>
      <c r="S23">
        <f t="shared" si="6"/>
        <v>32</v>
      </c>
      <c r="T23">
        <f>_xlfn.XLOOKUP(A23,'January 2023 Data'!$A$4:$A$49,'January 2023 Data'!$H$4:$H$49,,0)</f>
        <v>182</v>
      </c>
      <c r="U23">
        <f t="shared" si="7"/>
        <v>0</v>
      </c>
      <c r="V23" s="22" t="s">
        <v>228</v>
      </c>
      <c r="W23" t="str">
        <f t="shared" si="8"/>
        <v>Sadanoumi, 5-8</v>
      </c>
    </row>
    <row r="24" spans="1:23" ht="25">
      <c r="A24" s="1" t="s">
        <v>99</v>
      </c>
      <c r="B24" s="1"/>
      <c r="C24" s="1" t="s">
        <v>141</v>
      </c>
      <c r="D24" s="1" t="s">
        <v>135</v>
      </c>
      <c r="E24" s="1" t="s">
        <v>143</v>
      </c>
      <c r="F24" s="1" t="s">
        <v>141</v>
      </c>
      <c r="G24" s="1">
        <f>_xlfn.XLOOKUP(F24,'rank lookup'!$A$1:$A$21,'rank lookup'!$B$1:$B$21,,0)</f>
        <v>10</v>
      </c>
      <c r="H24" s="1" t="s">
        <v>205</v>
      </c>
      <c r="I24" s="19">
        <v>184</v>
      </c>
      <c r="J24" s="19">
        <v>150</v>
      </c>
      <c r="K24" s="5">
        <f t="shared" si="0"/>
        <v>44.305293005671075</v>
      </c>
      <c r="L24" s="4">
        <f t="shared" si="1"/>
        <v>72.440944881889763</v>
      </c>
      <c r="M24">
        <f t="shared" si="2"/>
        <v>6</v>
      </c>
      <c r="N24">
        <f t="shared" si="3"/>
        <v>0.4</v>
      </c>
      <c r="O24" t="str">
        <f t="shared" si="4"/>
        <v>6' 0.4"</v>
      </c>
      <c r="P24">
        <f t="shared" si="5"/>
        <v>331</v>
      </c>
      <c r="Q24">
        <f t="shared" si="6"/>
        <v>24</v>
      </c>
      <c r="R24">
        <f t="shared" si="6"/>
        <v>29</v>
      </c>
      <c r="S24">
        <f t="shared" si="6"/>
        <v>25</v>
      </c>
      <c r="T24">
        <f>_xlfn.XLOOKUP(A24,'January 2023 Data'!$A$4:$A$49,'January 2023 Data'!$H$4:$H$49,,0)</f>
        <v>183</v>
      </c>
      <c r="U24">
        <f t="shared" si="7"/>
        <v>1</v>
      </c>
      <c r="V24" s="22" t="s">
        <v>225</v>
      </c>
      <c r="W24" t="str">
        <f t="shared" si="8"/>
        <v>Endo, 8-5</v>
      </c>
    </row>
    <row r="25" spans="1:23" ht="25">
      <c r="A25" s="1" t="s">
        <v>96</v>
      </c>
      <c r="B25" s="1"/>
      <c r="C25" s="1" t="s">
        <v>139</v>
      </c>
      <c r="D25" s="1" t="s">
        <v>132</v>
      </c>
      <c r="E25" s="1" t="s">
        <v>31</v>
      </c>
      <c r="F25" s="1" t="s">
        <v>135</v>
      </c>
      <c r="G25" s="1">
        <f>_xlfn.XLOOKUP(F25,'rank lookup'!$A$1:$A$21,'rank lookup'!$B$1:$B$21,,0)</f>
        <v>11</v>
      </c>
      <c r="H25" s="1" t="s">
        <v>206</v>
      </c>
      <c r="I25" s="19">
        <v>188</v>
      </c>
      <c r="J25" s="19">
        <v>177</v>
      </c>
      <c r="K25" s="5">
        <f t="shared" si="0"/>
        <v>50.079221367134451</v>
      </c>
      <c r="L25" s="4">
        <f t="shared" si="1"/>
        <v>74.015748031496059</v>
      </c>
      <c r="M25">
        <f t="shared" si="2"/>
        <v>6</v>
      </c>
      <c r="N25">
        <f t="shared" si="3"/>
        <v>2</v>
      </c>
      <c r="O25" t="str">
        <f t="shared" si="4"/>
        <v>6' 2"</v>
      </c>
      <c r="P25">
        <f t="shared" si="5"/>
        <v>390</v>
      </c>
      <c r="Q25">
        <f t="shared" si="6"/>
        <v>12</v>
      </c>
      <c r="R25">
        <f t="shared" si="6"/>
        <v>7</v>
      </c>
      <c r="S25">
        <f t="shared" si="6"/>
        <v>10</v>
      </c>
      <c r="T25">
        <f>_xlfn.XLOOKUP(A25,'January 2023 Data'!$A$4:$A$49,'January 2023 Data'!$H$4:$H$49,,0)</f>
        <v>186</v>
      </c>
      <c r="U25">
        <f t="shared" si="7"/>
        <v>2</v>
      </c>
      <c r="V25" s="22" t="s">
        <v>225</v>
      </c>
      <c r="W25" t="str">
        <f t="shared" si="8"/>
        <v>Takayasu, 8-5</v>
      </c>
    </row>
    <row r="26" spans="1:23">
      <c r="A26" s="1" t="s">
        <v>103</v>
      </c>
      <c r="B26" s="1"/>
      <c r="C26" s="1" t="s">
        <v>142</v>
      </c>
      <c r="D26" s="1" t="s">
        <v>140</v>
      </c>
      <c r="E26" s="1" t="s">
        <v>141</v>
      </c>
      <c r="F26" s="1" t="s">
        <v>135</v>
      </c>
      <c r="G26" s="1">
        <f>_xlfn.XLOOKUP(F26,'rank lookup'!$A$1:$A$21,'rank lookup'!$B$1:$B$21,,0)</f>
        <v>11</v>
      </c>
      <c r="H26" s="1"/>
      <c r="I26" s="19">
        <v>184</v>
      </c>
      <c r="J26" s="19">
        <v>159</v>
      </c>
      <c r="K26" s="5">
        <f t="shared" si="0"/>
        <v>46.963610586011342</v>
      </c>
      <c r="L26" s="4">
        <f t="shared" si="1"/>
        <v>72.440944881889763</v>
      </c>
      <c r="M26">
        <f t="shared" si="2"/>
        <v>6</v>
      </c>
      <c r="N26">
        <f t="shared" si="3"/>
        <v>0.4</v>
      </c>
      <c r="O26" t="str">
        <f t="shared" si="4"/>
        <v>6' 0.4"</v>
      </c>
      <c r="P26">
        <f t="shared" si="5"/>
        <v>351</v>
      </c>
      <c r="Q26">
        <f t="shared" si="6"/>
        <v>24</v>
      </c>
      <c r="R26">
        <f t="shared" si="6"/>
        <v>22</v>
      </c>
      <c r="S26">
        <f t="shared" si="6"/>
        <v>22</v>
      </c>
      <c r="T26">
        <f>_xlfn.XLOOKUP(A26,'January 2023 Data'!$A$4:$A$49,'January 2023 Data'!$H$4:$H$49,,0)</f>
        <v>184</v>
      </c>
      <c r="U26">
        <f t="shared" si="7"/>
        <v>0</v>
      </c>
      <c r="V26" s="22" t="s">
        <v>220</v>
      </c>
      <c r="W26" t="str">
        <f t="shared" si="8"/>
        <v>Hokutofuji, 7-6</v>
      </c>
    </row>
    <row r="27" spans="1:23">
      <c r="A27" s="1" t="s">
        <v>121</v>
      </c>
      <c r="B27" s="1"/>
      <c r="C27" s="1" t="s">
        <v>137</v>
      </c>
      <c r="D27" s="1" t="s">
        <v>137</v>
      </c>
      <c r="E27" s="1" t="s">
        <v>135</v>
      </c>
      <c r="F27" s="1" t="s">
        <v>142</v>
      </c>
      <c r="G27" s="1">
        <f>_xlfn.XLOOKUP(F27,'rank lookup'!$A$1:$A$21,'rank lookup'!$B$1:$B$21,,0)</f>
        <v>12</v>
      </c>
      <c r="H27" s="1"/>
      <c r="I27" s="19">
        <v>175</v>
      </c>
      <c r="J27" s="19">
        <v>146</v>
      </c>
      <c r="K27" s="5">
        <f t="shared" si="0"/>
        <v>47.673469387755098</v>
      </c>
      <c r="L27" s="4">
        <f t="shared" si="1"/>
        <v>68.897637795275585</v>
      </c>
      <c r="M27">
        <f t="shared" si="2"/>
        <v>5</v>
      </c>
      <c r="N27">
        <f t="shared" si="3"/>
        <v>8.9</v>
      </c>
      <c r="O27" t="str">
        <f t="shared" si="4"/>
        <v>5' 8.9"</v>
      </c>
      <c r="P27">
        <f t="shared" si="5"/>
        <v>322</v>
      </c>
      <c r="Q27">
        <f t="shared" si="6"/>
        <v>38</v>
      </c>
      <c r="R27">
        <f t="shared" si="6"/>
        <v>31</v>
      </c>
      <c r="S27">
        <f t="shared" si="6"/>
        <v>18</v>
      </c>
      <c r="T27">
        <f>_xlfn.XLOOKUP(A27,'January 2023 Data'!$A$4:$A$49,'January 2023 Data'!$H$4:$H$49,,0)</f>
        <v>175</v>
      </c>
      <c r="U27">
        <f t="shared" si="7"/>
        <v>0</v>
      </c>
      <c r="V27" s="22" t="s">
        <v>220</v>
      </c>
      <c r="W27" t="str">
        <f t="shared" si="8"/>
        <v>Ura, 7-6</v>
      </c>
    </row>
    <row r="28" spans="1:23">
      <c r="A28" s="1" t="s">
        <v>98</v>
      </c>
      <c r="B28" s="1"/>
      <c r="C28" s="1" t="s">
        <v>150</v>
      </c>
      <c r="D28" s="1" t="s">
        <v>151</v>
      </c>
      <c r="E28" s="1" t="s">
        <v>151</v>
      </c>
      <c r="F28" s="1" t="s">
        <v>142</v>
      </c>
      <c r="G28" s="1">
        <f>_xlfn.XLOOKUP(F28,'rank lookup'!$A$1:$A$21,'rank lookup'!$B$1:$B$21,,0)</f>
        <v>12</v>
      </c>
      <c r="H28" s="1"/>
      <c r="I28" s="19">
        <v>187</v>
      </c>
      <c r="J28" s="19">
        <v>146</v>
      </c>
      <c r="K28" s="5">
        <f t="shared" si="0"/>
        <v>41.751265406502903</v>
      </c>
      <c r="L28" s="4">
        <f t="shared" si="1"/>
        <v>73.622047244094489</v>
      </c>
      <c r="M28">
        <f t="shared" si="2"/>
        <v>6</v>
      </c>
      <c r="N28">
        <f t="shared" si="3"/>
        <v>1.6</v>
      </c>
      <c r="O28" t="str">
        <f t="shared" si="4"/>
        <v>6' 1.6"</v>
      </c>
      <c r="P28">
        <f t="shared" si="5"/>
        <v>322</v>
      </c>
      <c r="Q28">
        <f t="shared" si="6"/>
        <v>16</v>
      </c>
      <c r="R28">
        <f t="shared" si="6"/>
        <v>31</v>
      </c>
      <c r="S28">
        <f t="shared" si="6"/>
        <v>35</v>
      </c>
      <c r="T28">
        <f>_xlfn.XLOOKUP(A28,'January 2023 Data'!$A$4:$A$49,'January 2023 Data'!$H$4:$H$49,,0)</f>
        <v>187</v>
      </c>
      <c r="U28">
        <f t="shared" si="7"/>
        <v>0</v>
      </c>
      <c r="V28" s="22" t="s">
        <v>224</v>
      </c>
      <c r="W28" t="str">
        <f t="shared" si="8"/>
        <v>Ichiyamamoto, 4-9</v>
      </c>
    </row>
    <row r="29" spans="1:23" ht="25">
      <c r="A29" s="1" t="s">
        <v>91</v>
      </c>
      <c r="B29" s="1"/>
      <c r="C29" s="1" t="s">
        <v>135</v>
      </c>
      <c r="D29" s="1" t="s">
        <v>145</v>
      </c>
      <c r="E29" s="1" t="s">
        <v>145</v>
      </c>
      <c r="F29" s="1" t="s">
        <v>143</v>
      </c>
      <c r="G29" s="1">
        <f>_xlfn.XLOOKUP(F29,'rank lookup'!$A$1:$A$21,'rank lookup'!$B$1:$B$21,,0)</f>
        <v>13</v>
      </c>
      <c r="H29" s="1" t="s">
        <v>208</v>
      </c>
      <c r="I29" s="19">
        <v>191</v>
      </c>
      <c r="J29" s="19">
        <v>189</v>
      </c>
      <c r="K29" s="5">
        <f t="shared" si="0"/>
        <v>51.80779035662399</v>
      </c>
      <c r="L29" s="4">
        <f t="shared" si="1"/>
        <v>75.196850393700785</v>
      </c>
      <c r="M29">
        <f t="shared" si="2"/>
        <v>6</v>
      </c>
      <c r="N29">
        <f t="shared" si="3"/>
        <v>3.2</v>
      </c>
      <c r="O29" t="str">
        <f t="shared" si="4"/>
        <v>6' 3.2"</v>
      </c>
      <c r="P29">
        <f t="shared" si="5"/>
        <v>417</v>
      </c>
      <c r="Q29">
        <f t="shared" si="6"/>
        <v>6</v>
      </c>
      <c r="R29">
        <f t="shared" si="6"/>
        <v>3</v>
      </c>
      <c r="S29">
        <f t="shared" si="6"/>
        <v>8</v>
      </c>
      <c r="T29">
        <f>_xlfn.XLOOKUP(A29,'January 2023 Data'!$A$4:$A$49,'January 2023 Data'!$H$4:$H$49,,0)</f>
        <v>190</v>
      </c>
      <c r="U29">
        <f t="shared" si="7"/>
        <v>1</v>
      </c>
      <c r="V29" s="22" t="s">
        <v>228</v>
      </c>
      <c r="W29" t="str">
        <f t="shared" si="8"/>
        <v>Aoiyama, 5-8</v>
      </c>
    </row>
    <row r="30" spans="1:23" ht="25">
      <c r="A30" t="s">
        <v>155</v>
      </c>
      <c r="C30" s="1" t="s">
        <v>154</v>
      </c>
      <c r="D30" s="1" t="s">
        <v>154</v>
      </c>
      <c r="E30" s="1" t="s">
        <v>145</v>
      </c>
      <c r="F30" s="1" t="s">
        <v>143</v>
      </c>
      <c r="G30" s="1">
        <f>_xlfn.XLOOKUP(F30,'rank lookup'!$A$1:$A$21,'rank lookup'!$B$1:$B$21,,0)</f>
        <v>13</v>
      </c>
      <c r="H30" s="1" t="s">
        <v>203</v>
      </c>
      <c r="I30" s="19">
        <v>177</v>
      </c>
      <c r="J30" s="19">
        <v>135</v>
      </c>
      <c r="K30" s="5">
        <f t="shared" si="0"/>
        <v>43.091065785693765</v>
      </c>
      <c r="L30" s="4">
        <f t="shared" si="1"/>
        <v>69.685039370078741</v>
      </c>
      <c r="M30">
        <f t="shared" si="2"/>
        <v>5</v>
      </c>
      <c r="N30">
        <f t="shared" si="3"/>
        <v>9.6999999999999993</v>
      </c>
      <c r="O30" t="str">
        <f t="shared" si="4"/>
        <v>5' 9.7"</v>
      </c>
      <c r="P30">
        <f t="shared" si="5"/>
        <v>298</v>
      </c>
      <c r="Q30">
        <f t="shared" si="6"/>
        <v>35</v>
      </c>
      <c r="R30">
        <f t="shared" si="6"/>
        <v>38</v>
      </c>
      <c r="S30">
        <f t="shared" si="6"/>
        <v>31</v>
      </c>
      <c r="T30">
        <f>_xlfn.XLOOKUP(A30,'January 2023 Data'!$A$4:$A$49,'January 2023 Data'!$H$4:$H$49,,0)</f>
        <v>178</v>
      </c>
      <c r="U30">
        <f t="shared" si="7"/>
        <v>-1</v>
      </c>
      <c r="V30" s="22" t="s">
        <v>229</v>
      </c>
      <c r="W30" t="str">
        <f t="shared" si="8"/>
        <v>Hiradoumi, 6-7</v>
      </c>
    </row>
    <row r="31" spans="1:23">
      <c r="A31" t="s">
        <v>144</v>
      </c>
      <c r="C31" s="1" t="s">
        <v>145</v>
      </c>
      <c r="D31" s="1" t="s">
        <v>140</v>
      </c>
      <c r="E31" s="1" t="s">
        <v>139</v>
      </c>
      <c r="F31" s="1" t="s">
        <v>145</v>
      </c>
      <c r="G31" s="1">
        <f>_xlfn.XLOOKUP(F31,'rank lookup'!$A$1:$A$21,'rank lookup'!$B$1:$B$21,,0)</f>
        <v>14</v>
      </c>
      <c r="H31" s="1"/>
      <c r="I31" s="19">
        <v>184</v>
      </c>
      <c r="J31" s="19">
        <v>150</v>
      </c>
      <c r="K31" s="5">
        <f t="shared" si="0"/>
        <v>44.305293005671075</v>
      </c>
      <c r="L31" s="4">
        <f t="shared" si="1"/>
        <v>72.440944881889763</v>
      </c>
      <c r="M31">
        <f t="shared" si="2"/>
        <v>6</v>
      </c>
      <c r="N31">
        <f t="shared" si="3"/>
        <v>0.4</v>
      </c>
      <c r="O31" t="str">
        <f t="shared" si="4"/>
        <v>6' 0.4"</v>
      </c>
      <c r="P31">
        <f t="shared" si="5"/>
        <v>331</v>
      </c>
      <c r="Q31">
        <f t="shared" si="6"/>
        <v>24</v>
      </c>
      <c r="R31">
        <f t="shared" si="6"/>
        <v>29</v>
      </c>
      <c r="S31">
        <f t="shared" si="6"/>
        <v>25</v>
      </c>
      <c r="T31">
        <f>_xlfn.XLOOKUP(A31,'January 2023 Data'!$A$4:$A$49,'January 2023 Data'!$H$4:$H$49,,0)</f>
        <v>184</v>
      </c>
      <c r="U31">
        <f t="shared" si="7"/>
        <v>0</v>
      </c>
      <c r="V31" s="22" t="s">
        <v>225</v>
      </c>
      <c r="W31" t="str">
        <f t="shared" si="8"/>
        <v>Nishikifuji, 8-5</v>
      </c>
    </row>
    <row r="32" spans="1:23" ht="25">
      <c r="A32" s="1" t="s">
        <v>97</v>
      </c>
      <c r="B32" s="1"/>
      <c r="C32" s="1" t="s">
        <v>143</v>
      </c>
      <c r="D32" s="1" t="s">
        <v>135</v>
      </c>
      <c r="E32" s="1" t="s">
        <v>141</v>
      </c>
      <c r="F32" s="1" t="s">
        <v>145</v>
      </c>
      <c r="G32" s="1">
        <f>_xlfn.XLOOKUP(F32,'rank lookup'!$A$1:$A$21,'rank lookup'!$B$1:$B$21,,0)</f>
        <v>14</v>
      </c>
      <c r="H32" s="1" t="s">
        <v>207</v>
      </c>
      <c r="I32" s="19">
        <v>188</v>
      </c>
      <c r="J32" s="19">
        <v>156</v>
      </c>
      <c r="K32" s="5">
        <f t="shared" si="0"/>
        <v>44.137618832050705</v>
      </c>
      <c r="L32" s="4">
        <f t="shared" si="1"/>
        <v>74.015748031496059</v>
      </c>
      <c r="M32">
        <f t="shared" si="2"/>
        <v>6</v>
      </c>
      <c r="N32">
        <f t="shared" si="3"/>
        <v>2</v>
      </c>
      <c r="O32" t="str">
        <f t="shared" si="4"/>
        <v>6' 2"</v>
      </c>
      <c r="P32">
        <f t="shared" si="5"/>
        <v>344</v>
      </c>
      <c r="Q32">
        <f t="shared" si="6"/>
        <v>12</v>
      </c>
      <c r="R32">
        <f t="shared" si="6"/>
        <v>24</v>
      </c>
      <c r="S32">
        <f t="shared" si="6"/>
        <v>27</v>
      </c>
      <c r="T32">
        <f>_xlfn.XLOOKUP(A32,'January 2023 Data'!$A$4:$A$49,'January 2023 Data'!$H$4:$H$49,,0)</f>
        <v>189</v>
      </c>
      <c r="U32">
        <f t="shared" si="7"/>
        <v>-1</v>
      </c>
      <c r="V32" s="22" t="s">
        <v>228</v>
      </c>
      <c r="W32" t="str">
        <f t="shared" si="8"/>
        <v>Myogiryu, 5-8</v>
      </c>
    </row>
    <row r="33" spans="1:23" ht="25">
      <c r="A33" s="1" t="s">
        <v>101</v>
      </c>
      <c r="B33" s="1"/>
      <c r="C33" s="1" t="s">
        <v>145</v>
      </c>
      <c r="D33" s="1" t="s">
        <v>143</v>
      </c>
      <c r="E33" s="1" t="s">
        <v>143</v>
      </c>
      <c r="F33" s="1" t="s">
        <v>147</v>
      </c>
      <c r="G33" s="1">
        <f>_xlfn.XLOOKUP(F33,'rank lookup'!$A$1:$A$21,'rank lookup'!$B$1:$B$21,,0)</f>
        <v>15</v>
      </c>
      <c r="H33" s="1" t="s">
        <v>209</v>
      </c>
      <c r="I33" s="19">
        <v>183</v>
      </c>
      <c r="J33" s="19">
        <v>165</v>
      </c>
      <c r="K33" s="5">
        <f t="shared" si="0"/>
        <v>49.269909522529787</v>
      </c>
      <c r="L33" s="4">
        <f t="shared" si="1"/>
        <v>72.047244094488192</v>
      </c>
      <c r="M33">
        <f t="shared" si="2"/>
        <v>6</v>
      </c>
      <c r="N33">
        <f t="shared" si="3"/>
        <v>0</v>
      </c>
      <c r="O33" t="str">
        <f t="shared" si="4"/>
        <v>6' 0"</v>
      </c>
      <c r="P33">
        <f t="shared" si="5"/>
        <v>364</v>
      </c>
      <c r="Q33">
        <f t="shared" si="6"/>
        <v>29</v>
      </c>
      <c r="R33">
        <f t="shared" si="6"/>
        <v>16</v>
      </c>
      <c r="S33">
        <f t="shared" si="6"/>
        <v>14</v>
      </c>
      <c r="T33">
        <f>_xlfn.XLOOKUP(A33,'January 2023 Data'!$A$4:$A$49,'January 2023 Data'!$H$4:$H$49,,0)</f>
        <v>184</v>
      </c>
      <c r="U33">
        <f t="shared" si="7"/>
        <v>-1</v>
      </c>
      <c r="V33" s="22" t="s">
        <v>220</v>
      </c>
      <c r="W33" t="str">
        <f t="shared" si="8"/>
        <v>Takanosho, 7-6</v>
      </c>
    </row>
    <row r="34" spans="1:23" ht="25">
      <c r="A34" s="1" t="s">
        <v>166</v>
      </c>
      <c r="D34" t="s">
        <v>151</v>
      </c>
      <c r="E34" s="1" t="s">
        <v>151</v>
      </c>
      <c r="F34" s="1" t="s">
        <v>147</v>
      </c>
      <c r="G34" s="1">
        <f>_xlfn.XLOOKUP(F34,'rank lookup'!$A$1:$A$21,'rank lookup'!$B$1:$B$21,,0)</f>
        <v>15</v>
      </c>
      <c r="H34" s="1" t="s">
        <v>210</v>
      </c>
      <c r="I34" s="19">
        <v>192</v>
      </c>
      <c r="J34" s="19">
        <v>159</v>
      </c>
      <c r="K34" s="5">
        <f t="shared" si="0"/>
        <v>43.131510416666671</v>
      </c>
      <c r="L34" s="4">
        <f t="shared" si="1"/>
        <v>75.59055118110237</v>
      </c>
      <c r="M34">
        <f t="shared" si="2"/>
        <v>6</v>
      </c>
      <c r="N34">
        <f t="shared" si="3"/>
        <v>3.6</v>
      </c>
      <c r="O34" t="str">
        <f t="shared" si="4"/>
        <v>6' 3.6"</v>
      </c>
      <c r="P34">
        <f t="shared" si="5"/>
        <v>351</v>
      </c>
      <c r="Q34">
        <f t="shared" si="6"/>
        <v>3</v>
      </c>
      <c r="R34">
        <f t="shared" si="6"/>
        <v>22</v>
      </c>
      <c r="S34">
        <f t="shared" si="6"/>
        <v>30</v>
      </c>
      <c r="T34">
        <f>_xlfn.XLOOKUP(A34,'January 2023 Data'!$A$4:$A$49,'January 2023 Data'!$H$4:$H$49,,0)</f>
        <v>191</v>
      </c>
      <c r="U34">
        <f t="shared" si="7"/>
        <v>1</v>
      </c>
      <c r="V34" s="22" t="s">
        <v>226</v>
      </c>
      <c r="W34" t="str">
        <f t="shared" si="8"/>
        <v>Azumaryu, 3-10</v>
      </c>
    </row>
    <row r="35" spans="1:23">
      <c r="A35" s="1" t="s">
        <v>167</v>
      </c>
      <c r="D35" t="s">
        <v>152</v>
      </c>
      <c r="E35" t="s">
        <v>148</v>
      </c>
      <c r="F35" t="s">
        <v>148</v>
      </c>
      <c r="G35" s="1">
        <f>_xlfn.XLOOKUP(F35,'rank lookup'!$A$1:$A$21,'rank lookup'!$B$1:$B$21,,0)</f>
        <v>16</v>
      </c>
      <c r="I35" s="19">
        <v>193</v>
      </c>
      <c r="J35" s="19">
        <v>156</v>
      </c>
      <c r="K35" s="5">
        <f t="shared" si="0"/>
        <v>41.880318934736501</v>
      </c>
      <c r="L35" s="4">
        <f t="shared" si="1"/>
        <v>75.984251968503941</v>
      </c>
      <c r="M35">
        <f t="shared" si="2"/>
        <v>6</v>
      </c>
      <c r="N35">
        <f t="shared" si="3"/>
        <v>4</v>
      </c>
      <c r="O35" t="str">
        <f t="shared" si="4"/>
        <v>6' 4"</v>
      </c>
      <c r="P35">
        <f t="shared" si="5"/>
        <v>344</v>
      </c>
      <c r="Q35">
        <f t="shared" si="6"/>
        <v>2</v>
      </c>
      <c r="R35">
        <f t="shared" si="6"/>
        <v>24</v>
      </c>
      <c r="S35">
        <f t="shared" si="6"/>
        <v>34</v>
      </c>
      <c r="T35">
        <f>_xlfn.XLOOKUP(A35,'January 2023 Data'!$A$4:$A$49,'January 2023 Data'!$H$4:$H$49,,0)</f>
        <v>193</v>
      </c>
      <c r="U35">
        <f t="shared" si="7"/>
        <v>0</v>
      </c>
      <c r="V35" s="22" t="s">
        <v>228</v>
      </c>
      <c r="W35" t="str">
        <f t="shared" si="8"/>
        <v>Kagayaki, 5-8</v>
      </c>
    </row>
    <row r="36" spans="1:23">
      <c r="A36" s="1" t="s">
        <v>104</v>
      </c>
      <c r="B36" s="1"/>
      <c r="C36" s="1" t="s">
        <v>140</v>
      </c>
      <c r="D36" s="1" t="s">
        <v>142</v>
      </c>
      <c r="E36" s="1" t="s">
        <v>154</v>
      </c>
      <c r="F36" s="1" t="s">
        <v>148</v>
      </c>
      <c r="G36" s="1">
        <f>_xlfn.XLOOKUP(F36,'rank lookup'!$A$1:$A$21,'rank lookup'!$B$1:$B$21,,0)</f>
        <v>16</v>
      </c>
      <c r="H36" s="1"/>
      <c r="I36" s="19">
        <v>186</v>
      </c>
      <c r="J36" s="19">
        <v>171</v>
      </c>
      <c r="K36" s="5">
        <f t="shared" ref="K36:K53" si="10">J36/(I36*I36)*10000</f>
        <v>49.427679500520291</v>
      </c>
      <c r="L36" s="4">
        <f t="shared" ref="L36:L53" si="11">CONVERT(I36,"cm","in")</f>
        <v>73.228346456692918</v>
      </c>
      <c r="M36">
        <f t="shared" ref="M36:M53" si="12">_xlfn.FLOOR.MATH(L36/12)</f>
        <v>6</v>
      </c>
      <c r="N36">
        <f t="shared" ref="N36:N53" si="13">ROUND(L36-M36*12,1)</f>
        <v>1.2</v>
      </c>
      <c r="O36" t="str">
        <f t="shared" ref="O36:O53" si="14">M36&amp;"' "&amp;N36&amp;""""</f>
        <v>6' 1.2"</v>
      </c>
      <c r="P36">
        <f t="shared" ref="P36:P53" si="15">ROUND(CONVERT(J36,"kg","lbm"),0)</f>
        <v>377</v>
      </c>
      <c r="Q36">
        <f t="shared" si="6"/>
        <v>18</v>
      </c>
      <c r="R36">
        <f t="shared" si="6"/>
        <v>13</v>
      </c>
      <c r="S36">
        <f t="shared" si="6"/>
        <v>12</v>
      </c>
      <c r="T36">
        <f>_xlfn.XLOOKUP(A36,'January 2023 Data'!$A$4:$A$49,'January 2023 Data'!$H$4:$H$49,,0)</f>
        <v>186</v>
      </c>
      <c r="U36">
        <f t="shared" si="7"/>
        <v>0</v>
      </c>
      <c r="V36" s="22" t="s">
        <v>229</v>
      </c>
      <c r="W36" t="str">
        <f t="shared" si="8"/>
        <v>Takarafuji, 6-7</v>
      </c>
    </row>
    <row r="37" spans="1:23">
      <c r="A37" s="1" t="s">
        <v>122</v>
      </c>
      <c r="B37" s="1"/>
      <c r="C37" s="1" t="s">
        <v>143</v>
      </c>
      <c r="D37" s="1" t="s">
        <v>148</v>
      </c>
      <c r="E37" s="1" t="s">
        <v>150</v>
      </c>
      <c r="F37" s="1" t="s">
        <v>150</v>
      </c>
      <c r="G37" s="1">
        <f>_xlfn.XLOOKUP(F37,'rank lookup'!$A$1:$A$21,'rank lookup'!$B$1:$B$21,,0)</f>
        <v>17</v>
      </c>
      <c r="H37" s="1"/>
      <c r="I37" s="19">
        <v>176</v>
      </c>
      <c r="J37" s="19">
        <v>129</v>
      </c>
      <c r="K37" s="5">
        <f t="shared" si="10"/>
        <v>41.645144628099175</v>
      </c>
      <c r="L37" s="4">
        <f t="shared" si="11"/>
        <v>69.29133858267717</v>
      </c>
      <c r="M37">
        <f t="shared" si="12"/>
        <v>5</v>
      </c>
      <c r="N37">
        <f t="shared" si="13"/>
        <v>9.3000000000000007</v>
      </c>
      <c r="O37" t="str">
        <f t="shared" si="14"/>
        <v>5' 9.3"</v>
      </c>
      <c r="P37">
        <f t="shared" si="15"/>
        <v>284</v>
      </c>
      <c r="Q37">
        <f t="shared" si="6"/>
        <v>37</v>
      </c>
      <c r="R37">
        <f t="shared" si="6"/>
        <v>41</v>
      </c>
      <c r="S37">
        <f t="shared" si="6"/>
        <v>36</v>
      </c>
      <c r="T37">
        <f>_xlfn.XLOOKUP(A37,'January 2023 Data'!$A$4:$A$49,'January 2023 Data'!$H$4:$H$49,,0)</f>
        <v>176</v>
      </c>
      <c r="U37">
        <f t="shared" si="7"/>
        <v>0</v>
      </c>
      <c r="V37" s="22" t="s">
        <v>225</v>
      </c>
      <c r="W37" t="str">
        <f t="shared" si="8"/>
        <v>Kotoeko, 8-5</v>
      </c>
    </row>
    <row r="38" spans="1:23">
      <c r="A38" s="1" t="s">
        <v>188</v>
      </c>
      <c r="F38" t="s">
        <v>150</v>
      </c>
      <c r="G38" s="1">
        <f>_xlfn.XLOOKUP(F38,'rank lookup'!$A$1:$A$21,'rank lookup'!$B$1:$B$21,,0)</f>
        <v>17</v>
      </c>
      <c r="I38" s="19">
        <v>185</v>
      </c>
      <c r="J38" s="19">
        <v>189</v>
      </c>
      <c r="K38" s="5">
        <f t="shared" si="10"/>
        <v>55.22279035792549</v>
      </c>
      <c r="L38" s="4">
        <f t="shared" si="11"/>
        <v>72.834645669291348</v>
      </c>
      <c r="M38">
        <f t="shared" si="12"/>
        <v>6</v>
      </c>
      <c r="N38">
        <f t="shared" si="13"/>
        <v>0.8</v>
      </c>
      <c r="O38" t="str">
        <f t="shared" si="14"/>
        <v>6' 0.8"</v>
      </c>
      <c r="P38">
        <f t="shared" si="15"/>
        <v>417</v>
      </c>
      <c r="Q38">
        <f t="shared" si="6"/>
        <v>21</v>
      </c>
      <c r="R38">
        <f t="shared" si="6"/>
        <v>3</v>
      </c>
      <c r="S38">
        <f t="shared" si="6"/>
        <v>3</v>
      </c>
      <c r="T38" t="e">
        <f>_xlfn.XLOOKUP(A38,'January 2023 Data'!$A$4:$A$49,'January 2023 Data'!$H$4:$H$49,,0)</f>
        <v>#N/A</v>
      </c>
      <c r="U38" t="e">
        <f t="shared" si="7"/>
        <v>#N/A</v>
      </c>
      <c r="V38" s="22" t="s">
        <v>225</v>
      </c>
      <c r="W38" t="str">
        <f t="shared" si="8"/>
        <v>Daishoho, 8-5</v>
      </c>
    </row>
    <row r="39" spans="1:23">
      <c r="A39" s="1" t="s">
        <v>189</v>
      </c>
      <c r="F39" t="s">
        <v>151</v>
      </c>
      <c r="G39" s="1">
        <f>_xlfn.XLOOKUP(F39,'rank lookup'!$A$1:$A$21,'rank lookup'!$B$1:$B$21,,0)</f>
        <v>18</v>
      </c>
      <c r="I39" s="19">
        <v>192</v>
      </c>
      <c r="J39" s="19">
        <v>174</v>
      </c>
      <c r="K39" s="5">
        <f t="shared" si="10"/>
        <v>47.200520833333329</v>
      </c>
      <c r="L39" s="4">
        <f t="shared" si="11"/>
        <v>75.59055118110237</v>
      </c>
      <c r="M39">
        <f t="shared" si="12"/>
        <v>6</v>
      </c>
      <c r="N39">
        <f t="shared" si="13"/>
        <v>3.6</v>
      </c>
      <c r="O39" t="str">
        <f t="shared" si="14"/>
        <v>6' 3.6"</v>
      </c>
      <c r="P39">
        <f t="shared" si="15"/>
        <v>384</v>
      </c>
      <c r="Q39">
        <f t="shared" si="6"/>
        <v>3</v>
      </c>
      <c r="R39">
        <f t="shared" si="6"/>
        <v>10</v>
      </c>
      <c r="S39">
        <f t="shared" si="6"/>
        <v>21</v>
      </c>
      <c r="T39" t="e">
        <f>_xlfn.XLOOKUP(A39,'January 2023 Data'!$A$4:$A$49,'January 2023 Data'!$H$4:$H$49,,0)</f>
        <v>#N/A</v>
      </c>
      <c r="U39" t="e">
        <f t="shared" si="7"/>
        <v>#N/A</v>
      </c>
      <c r="V39" s="22" t="s">
        <v>221</v>
      </c>
      <c r="W39" t="str">
        <f t="shared" si="8"/>
        <v>Kinbozan, 9-4</v>
      </c>
    </row>
    <row r="40" spans="1:23">
      <c r="A40" s="1" t="s">
        <v>190</v>
      </c>
      <c r="F40" t="s">
        <v>151</v>
      </c>
      <c r="G40" s="1">
        <f>_xlfn.XLOOKUP(F40,'rank lookup'!$A$1:$A$21,'rank lookup'!$B$1:$B$21,,0)</f>
        <v>18</v>
      </c>
      <c r="I40" s="19">
        <v>171</v>
      </c>
      <c r="J40" s="19">
        <v>171</v>
      </c>
      <c r="K40" s="5">
        <f t="shared" si="10"/>
        <v>58.479532163742689</v>
      </c>
      <c r="L40" s="4">
        <f t="shared" si="11"/>
        <v>67.322834645669289</v>
      </c>
      <c r="M40">
        <f t="shared" si="12"/>
        <v>5</v>
      </c>
      <c r="N40">
        <f t="shared" si="13"/>
        <v>7.3</v>
      </c>
      <c r="O40" t="str">
        <f t="shared" si="14"/>
        <v>5' 7.3"</v>
      </c>
      <c r="P40">
        <f t="shared" si="15"/>
        <v>377</v>
      </c>
      <c r="Q40">
        <f t="shared" si="6"/>
        <v>41</v>
      </c>
      <c r="R40">
        <f t="shared" si="6"/>
        <v>13</v>
      </c>
      <c r="S40">
        <f t="shared" si="6"/>
        <v>1</v>
      </c>
      <c r="T40" t="e">
        <f>_xlfn.XLOOKUP(A40,'January 2023 Data'!$A$4:$A$49,'January 2023 Data'!$H$4:$H$49,,0)</f>
        <v>#N/A</v>
      </c>
      <c r="U40" t="e">
        <f t="shared" si="7"/>
        <v>#N/A</v>
      </c>
      <c r="V40" s="22" t="s">
        <v>224</v>
      </c>
      <c r="W40" t="str">
        <f t="shared" si="8"/>
        <v>Bushozan, 4-9</v>
      </c>
    </row>
    <row r="41" spans="1:23" ht="25">
      <c r="A41" s="1" t="s">
        <v>88</v>
      </c>
      <c r="B41" s="1"/>
      <c r="C41" s="1" t="s">
        <v>150</v>
      </c>
      <c r="D41" s="1" t="s">
        <v>150</v>
      </c>
      <c r="E41" s="1" t="s">
        <v>142</v>
      </c>
      <c r="F41" s="1" t="s">
        <v>152</v>
      </c>
      <c r="G41" s="1">
        <f>_xlfn.XLOOKUP(F41,'rank lookup'!$A$1:$A$21,'rank lookup'!$B$1:$B$21,,0)</f>
        <v>19</v>
      </c>
      <c r="H41" s="1" t="s">
        <v>211</v>
      </c>
      <c r="I41" s="19">
        <v>190</v>
      </c>
      <c r="J41" s="19">
        <v>178</v>
      </c>
      <c r="K41" s="5">
        <f t="shared" si="10"/>
        <v>49.307479224376735</v>
      </c>
      <c r="L41" s="4">
        <f t="shared" si="11"/>
        <v>74.803149606299215</v>
      </c>
      <c r="M41">
        <f t="shared" si="12"/>
        <v>6</v>
      </c>
      <c r="N41">
        <f t="shared" si="13"/>
        <v>2.8</v>
      </c>
      <c r="O41" t="str">
        <f t="shared" si="14"/>
        <v>6' 2.8"</v>
      </c>
      <c r="P41">
        <f t="shared" si="15"/>
        <v>392</v>
      </c>
      <c r="Q41">
        <f t="shared" si="6"/>
        <v>8</v>
      </c>
      <c r="R41">
        <f t="shared" si="6"/>
        <v>6</v>
      </c>
      <c r="S41">
        <f t="shared" si="6"/>
        <v>13</v>
      </c>
      <c r="T41">
        <f>_xlfn.XLOOKUP(A41,'January 2023 Data'!$A$4:$A$49,'January 2023 Data'!$H$4:$H$49,,0)</f>
        <v>189</v>
      </c>
      <c r="U41">
        <f t="shared" si="7"/>
        <v>1</v>
      </c>
      <c r="V41" s="22" t="s">
        <v>229</v>
      </c>
      <c r="W41" t="str">
        <f t="shared" si="8"/>
        <v>Oho, 6-7</v>
      </c>
    </row>
    <row r="42" spans="1:23">
      <c r="A42" s="1" t="s">
        <v>191</v>
      </c>
      <c r="F42" t="s">
        <v>152</v>
      </c>
      <c r="G42" s="1">
        <f>_xlfn.XLOOKUP(F42,'rank lookup'!$A$1:$A$21,'rank lookup'!$B$1:$B$21,,0)</f>
        <v>19</v>
      </c>
      <c r="I42" s="19">
        <v>204</v>
      </c>
      <c r="J42" s="19">
        <v>177</v>
      </c>
      <c r="K42" s="5">
        <f t="shared" si="10"/>
        <v>42.531718569780857</v>
      </c>
      <c r="L42" s="4">
        <f t="shared" si="11"/>
        <v>80.314960629921259</v>
      </c>
      <c r="M42">
        <f t="shared" si="12"/>
        <v>6</v>
      </c>
      <c r="N42">
        <f t="shared" si="13"/>
        <v>8.3000000000000007</v>
      </c>
      <c r="O42" t="str">
        <f t="shared" si="14"/>
        <v>6' 8.3"</v>
      </c>
      <c r="P42">
        <f t="shared" si="15"/>
        <v>390</v>
      </c>
      <c r="Q42">
        <f t="shared" si="6"/>
        <v>1</v>
      </c>
      <c r="R42">
        <f t="shared" si="6"/>
        <v>7</v>
      </c>
      <c r="S42">
        <f t="shared" si="6"/>
        <v>33</v>
      </c>
      <c r="T42" t="e">
        <f>_xlfn.XLOOKUP(A42,'January 2023 Data'!$A$4:$A$49,'January 2023 Data'!$H$4:$H$49,,0)</f>
        <v>#N/A</v>
      </c>
      <c r="U42" t="e">
        <f t="shared" si="7"/>
        <v>#N/A</v>
      </c>
      <c r="V42" s="22" t="s">
        <v>220</v>
      </c>
      <c r="W42" t="str">
        <f t="shared" si="8"/>
        <v>Hokuseiho, 7-6</v>
      </c>
    </row>
    <row r="43" spans="1:23" ht="25">
      <c r="A43" s="1" t="s">
        <v>110</v>
      </c>
      <c r="B43" s="1"/>
      <c r="C43" s="1" t="s">
        <v>151</v>
      </c>
      <c r="D43" s="1" t="s">
        <v>145</v>
      </c>
      <c r="E43" s="1" t="s">
        <v>147</v>
      </c>
      <c r="F43" s="1" t="s">
        <v>154</v>
      </c>
      <c r="G43" s="1">
        <f>_xlfn.XLOOKUP(F43,'rank lookup'!$A$1:$A$21,'rank lookup'!$B$1:$B$21,,0)</f>
        <v>20</v>
      </c>
      <c r="H43" s="1" t="s">
        <v>205</v>
      </c>
      <c r="I43" s="19">
        <v>184</v>
      </c>
      <c r="J43" s="19">
        <v>137</v>
      </c>
      <c r="K43" s="5">
        <f t="shared" si="10"/>
        <v>40.465500945179578</v>
      </c>
      <c r="L43" s="4">
        <f t="shared" si="11"/>
        <v>72.440944881889763</v>
      </c>
      <c r="M43">
        <f t="shared" si="12"/>
        <v>6</v>
      </c>
      <c r="N43">
        <f t="shared" si="13"/>
        <v>0.4</v>
      </c>
      <c r="O43" t="str">
        <f t="shared" si="14"/>
        <v>6' 0.4"</v>
      </c>
      <c r="P43">
        <f t="shared" si="15"/>
        <v>302</v>
      </c>
      <c r="Q43">
        <f t="shared" si="6"/>
        <v>24</v>
      </c>
      <c r="R43">
        <f t="shared" si="6"/>
        <v>37</v>
      </c>
      <c r="S43">
        <f t="shared" si="6"/>
        <v>39</v>
      </c>
      <c r="T43">
        <f>_xlfn.XLOOKUP(A43,'January 2023 Data'!$A$4:$A$49,'January 2023 Data'!$H$4:$H$49,,0)</f>
        <v>183</v>
      </c>
      <c r="U43">
        <f t="shared" si="7"/>
        <v>1</v>
      </c>
      <c r="V43" s="22" t="s">
        <v>225</v>
      </c>
      <c r="W43" t="str">
        <f t="shared" si="8"/>
        <v>Chiyoshoma, 8-5</v>
      </c>
    </row>
    <row r="44" spans="1:23" ht="25">
      <c r="A44" s="1" t="s">
        <v>108</v>
      </c>
      <c r="B44" s="1"/>
      <c r="C44" s="1" t="s">
        <v>152</v>
      </c>
      <c r="D44" s="1" t="s">
        <v>170</v>
      </c>
      <c r="E44" s="1" t="s">
        <v>152</v>
      </c>
      <c r="F44" s="1" t="s">
        <v>154</v>
      </c>
      <c r="G44" s="1">
        <f>_xlfn.XLOOKUP(F44,'rank lookup'!$A$1:$A$21,'rank lookup'!$B$1:$B$21,,0)</f>
        <v>20</v>
      </c>
      <c r="H44" s="1" t="s">
        <v>202</v>
      </c>
      <c r="I44" s="19">
        <v>185</v>
      </c>
      <c r="J44" s="19">
        <v>200</v>
      </c>
      <c r="K44" s="5">
        <f t="shared" si="10"/>
        <v>58.436815193571952</v>
      </c>
      <c r="L44" s="4">
        <f t="shared" si="11"/>
        <v>72.834645669291348</v>
      </c>
      <c r="M44">
        <f t="shared" si="12"/>
        <v>6</v>
      </c>
      <c r="N44">
        <f t="shared" si="13"/>
        <v>0.8</v>
      </c>
      <c r="O44" t="str">
        <f t="shared" si="14"/>
        <v>6' 0.8"</v>
      </c>
      <c r="P44">
        <f t="shared" si="15"/>
        <v>441</v>
      </c>
      <c r="Q44">
        <f t="shared" si="6"/>
        <v>21</v>
      </c>
      <c r="R44">
        <f t="shared" si="6"/>
        <v>1</v>
      </c>
      <c r="S44">
        <f t="shared" si="6"/>
        <v>2</v>
      </c>
      <c r="T44">
        <f>_xlfn.XLOOKUP(A44,'January 2023 Data'!$A$4:$A$49,'January 2023 Data'!$H$4:$H$49,,0)</f>
        <v>184</v>
      </c>
      <c r="U44">
        <f t="shared" si="7"/>
        <v>1</v>
      </c>
      <c r="V44" s="22" t="s">
        <v>220</v>
      </c>
      <c r="W44" t="str">
        <f t="shared" si="8"/>
        <v>Tsurugisho, 7-6</v>
      </c>
    </row>
    <row r="45" spans="1:23" ht="25">
      <c r="A45" t="s">
        <v>153</v>
      </c>
      <c r="C45" s="1" t="s">
        <v>154</v>
      </c>
      <c r="D45" s="1" t="s">
        <v>170</v>
      </c>
      <c r="E45" s="1" t="s">
        <v>152</v>
      </c>
      <c r="F45" s="1" t="s">
        <v>186</v>
      </c>
      <c r="G45" s="1">
        <f>_xlfn.XLOOKUP(F45,'rank lookup'!$A$1:$A$21,'rank lookup'!$B$1:$B$21,,0)</f>
        <v>21</v>
      </c>
      <c r="H45" s="1" t="s">
        <v>212</v>
      </c>
      <c r="I45" s="19">
        <v>189</v>
      </c>
      <c r="J45" s="19">
        <v>194</v>
      </c>
      <c r="K45" s="5">
        <f t="shared" si="10"/>
        <v>54.309789759525202</v>
      </c>
      <c r="L45" s="4">
        <f t="shared" si="11"/>
        <v>74.409448818897644</v>
      </c>
      <c r="M45">
        <f t="shared" si="12"/>
        <v>6</v>
      </c>
      <c r="N45">
        <f t="shared" si="13"/>
        <v>2.4</v>
      </c>
      <c r="O45" t="str">
        <f t="shared" si="14"/>
        <v>6' 2.4"</v>
      </c>
      <c r="P45">
        <f t="shared" si="15"/>
        <v>428</v>
      </c>
      <c r="Q45">
        <f t="shared" si="6"/>
        <v>9</v>
      </c>
      <c r="R45">
        <f t="shared" si="6"/>
        <v>2</v>
      </c>
      <c r="S45">
        <f t="shared" si="6"/>
        <v>4</v>
      </c>
      <c r="T45">
        <f>_xlfn.XLOOKUP(A45,'January 2023 Data'!$A$4:$A$49,'January 2023 Data'!$H$4:$H$49,,0)</f>
        <v>190</v>
      </c>
      <c r="U45">
        <f t="shared" si="7"/>
        <v>-1</v>
      </c>
      <c r="V45" s="22" t="s">
        <v>220</v>
      </c>
      <c r="W45" t="str">
        <f t="shared" si="8"/>
        <v>Mitoryu, 7-6</v>
      </c>
    </row>
    <row r="46" spans="1:23" ht="25">
      <c r="A46" s="1" t="s">
        <v>89</v>
      </c>
      <c r="B46" s="1">
        <v>1</v>
      </c>
      <c r="C46" s="1" t="s">
        <v>42</v>
      </c>
      <c r="D46" s="1" t="s">
        <v>136</v>
      </c>
      <c r="E46" s="1" t="s">
        <v>135</v>
      </c>
      <c r="F46" s="1" t="s">
        <v>170</v>
      </c>
      <c r="G46" s="1" t="e">
        <f>_xlfn.XLOOKUP(F46,'rank lookup'!$A$1:$A$21,'rank lookup'!$B$1:$B$21,,0)</f>
        <v>#N/A</v>
      </c>
      <c r="H46" s="1" t="s">
        <v>208</v>
      </c>
      <c r="I46" s="19">
        <v>191</v>
      </c>
      <c r="J46" s="19">
        <v>219</v>
      </c>
      <c r="K46" s="5">
        <f t="shared" si="10"/>
        <v>60.031249143389715</v>
      </c>
      <c r="L46" s="4">
        <f t="shared" si="11"/>
        <v>75.196850393700785</v>
      </c>
      <c r="M46">
        <f t="shared" si="12"/>
        <v>6</v>
      </c>
      <c r="N46">
        <f t="shared" si="13"/>
        <v>3.2</v>
      </c>
      <c r="O46" t="str">
        <f t="shared" si="14"/>
        <v>6' 3.2"</v>
      </c>
      <c r="P46">
        <f t="shared" si="15"/>
        <v>483</v>
      </c>
      <c r="T46">
        <f>_xlfn.XLOOKUP(A46,'January 2023 Data'!$A$4:$A$49,'January 2023 Data'!$H$4:$H$49,,0)</f>
        <v>190</v>
      </c>
      <c r="U46">
        <f>I46-T46</f>
        <v>1</v>
      </c>
      <c r="W46" t="str">
        <f t="shared" si="8"/>
        <v xml:space="preserve">Ichinojo, </v>
      </c>
    </row>
    <row r="47" spans="1:23">
      <c r="A47" s="1" t="s">
        <v>87</v>
      </c>
      <c r="B47" s="1">
        <v>1</v>
      </c>
      <c r="C47" s="1" t="s">
        <v>142</v>
      </c>
      <c r="D47" s="1" t="s">
        <v>142</v>
      </c>
      <c r="E47" s="1" t="s">
        <v>147</v>
      </c>
      <c r="F47" s="1" t="s">
        <v>192</v>
      </c>
      <c r="G47" s="1" t="e">
        <f>_xlfn.XLOOKUP(F47,'rank lookup'!$A$1:$A$21,'rank lookup'!$B$1:$B$21,,0)</f>
        <v>#N/A</v>
      </c>
      <c r="H47" s="1"/>
      <c r="I47" s="19">
        <v>192</v>
      </c>
      <c r="J47" s="19">
        <v>189</v>
      </c>
      <c r="K47" s="5">
        <f t="shared" si="10"/>
        <v>51.26953125</v>
      </c>
      <c r="L47" s="4">
        <f t="shared" si="11"/>
        <v>75.59055118110237</v>
      </c>
      <c r="M47">
        <f t="shared" si="12"/>
        <v>6</v>
      </c>
      <c r="N47">
        <f t="shared" si="13"/>
        <v>3.6</v>
      </c>
      <c r="O47" t="str">
        <f t="shared" si="14"/>
        <v>6' 3.6"</v>
      </c>
      <c r="P47">
        <f t="shared" si="15"/>
        <v>417</v>
      </c>
      <c r="T47">
        <f>_xlfn.XLOOKUP(A47,'January 2023 Data'!$A$4:$A$49,'January 2023 Data'!$H$4:$H$49,,0)</f>
        <v>192</v>
      </c>
      <c r="U47">
        <f t="shared" si="7"/>
        <v>0</v>
      </c>
      <c r="W47" t="str">
        <f t="shared" si="8"/>
        <v xml:space="preserve">Tochinoshin, </v>
      </c>
    </row>
    <row r="48" spans="1:23">
      <c r="A48" s="1" t="s">
        <v>90</v>
      </c>
      <c r="B48" s="1"/>
      <c r="C48" s="1" t="s">
        <v>148</v>
      </c>
      <c r="D48" s="1" t="s">
        <v>150</v>
      </c>
      <c r="E48" s="1" t="s">
        <v>148</v>
      </c>
      <c r="F48" s="1" t="s">
        <v>179</v>
      </c>
      <c r="G48" s="1" t="e">
        <f>_xlfn.XLOOKUP(F48,'rank lookup'!$A$1:$A$21,'rank lookup'!$B$1:$B$21,,0)</f>
        <v>#N/A</v>
      </c>
      <c r="H48" s="1" t="s">
        <v>193</v>
      </c>
      <c r="I48" s="19">
        <v>189</v>
      </c>
      <c r="J48" s="19">
        <v>161</v>
      </c>
      <c r="K48" s="5">
        <f t="shared" si="10"/>
        <v>45.071526553008034</v>
      </c>
      <c r="L48" s="4">
        <f t="shared" si="11"/>
        <v>74.409448818897644</v>
      </c>
      <c r="M48">
        <f t="shared" si="12"/>
        <v>6</v>
      </c>
      <c r="N48">
        <f t="shared" si="13"/>
        <v>2.4</v>
      </c>
      <c r="O48" t="str">
        <f t="shared" si="14"/>
        <v>6' 2.4"</v>
      </c>
      <c r="P48">
        <f t="shared" si="15"/>
        <v>355</v>
      </c>
      <c r="T48">
        <f>_xlfn.XLOOKUP(A48,'January 2023 Data'!$A$4:$A$49,'January 2023 Data'!$H$4:$H$49,,0)</f>
        <v>189</v>
      </c>
      <c r="U48">
        <f t="shared" si="7"/>
        <v>0</v>
      </c>
      <c r="W48" t="str">
        <f t="shared" si="8"/>
        <v xml:space="preserve">Okinoumi, </v>
      </c>
    </row>
    <row r="49" spans="1:23" ht="25">
      <c r="A49" t="s">
        <v>119</v>
      </c>
      <c r="E49" s="1" t="s">
        <v>154</v>
      </c>
      <c r="F49" s="1" t="s">
        <v>169</v>
      </c>
      <c r="G49" s="1" t="e">
        <f>_xlfn.XLOOKUP(F49,'rank lookup'!$A$1:$A$21,'rank lookup'!$B$1:$B$21,,0)</f>
        <v>#N/A</v>
      </c>
      <c r="H49" s="1" t="s">
        <v>213</v>
      </c>
      <c r="I49" s="19">
        <v>178</v>
      </c>
      <c r="J49" s="19">
        <v>166</v>
      </c>
      <c r="K49" s="5">
        <f t="shared" si="10"/>
        <v>52.392374700164119</v>
      </c>
      <c r="L49" s="4">
        <f t="shared" si="11"/>
        <v>70.078740157480311</v>
      </c>
      <c r="M49">
        <f t="shared" si="12"/>
        <v>5</v>
      </c>
      <c r="N49">
        <f t="shared" si="13"/>
        <v>10.1</v>
      </c>
      <c r="O49" t="str">
        <f t="shared" si="14"/>
        <v>5' 10.1"</v>
      </c>
      <c r="P49">
        <f t="shared" si="15"/>
        <v>366</v>
      </c>
      <c r="T49">
        <f>_xlfn.XLOOKUP(A49,'January 2023 Data'!$A$4:$A$49,'January 2023 Data'!$H$4:$H$49,,0)</f>
        <v>177</v>
      </c>
      <c r="U49">
        <f t="shared" si="7"/>
        <v>1</v>
      </c>
      <c r="W49" t="str">
        <f t="shared" si="8"/>
        <v xml:space="preserve">Chiyomaru, </v>
      </c>
    </row>
    <row r="50" spans="1:23">
      <c r="A50" s="1" t="s">
        <v>113</v>
      </c>
      <c r="B50" s="1"/>
      <c r="C50" s="1" t="s">
        <v>147</v>
      </c>
      <c r="D50" s="1" t="s">
        <v>148</v>
      </c>
      <c r="E50" s="1" t="s">
        <v>179</v>
      </c>
      <c r="F50" s="1"/>
      <c r="G50" s="1" t="e">
        <f>_xlfn.XLOOKUP(F50,'rank lookup'!$A$1:$A$21,'rank lookup'!$B$1:$B$21,,0)</f>
        <v>#N/A</v>
      </c>
      <c r="H50" s="1"/>
      <c r="I50" s="19">
        <v>181</v>
      </c>
      <c r="J50" s="19">
        <v>189</v>
      </c>
      <c r="K50" s="5">
        <f t="shared" si="10"/>
        <v>57.690546686609082</v>
      </c>
      <c r="L50" s="4">
        <f t="shared" si="11"/>
        <v>71.259842519685037</v>
      </c>
      <c r="M50">
        <f t="shared" si="12"/>
        <v>5</v>
      </c>
      <c r="N50">
        <f t="shared" si="13"/>
        <v>11.3</v>
      </c>
      <c r="O50" t="str">
        <f t="shared" si="14"/>
        <v>5' 11.3"</v>
      </c>
      <c r="P50">
        <f t="shared" si="15"/>
        <v>417</v>
      </c>
      <c r="T50">
        <f>_xlfn.XLOOKUP(A50,'January 2023 Data'!$A$4:$A$49,'January 2023 Data'!$H$4:$H$49,,0)</f>
        <v>181</v>
      </c>
      <c r="U50">
        <f t="shared" si="7"/>
        <v>0</v>
      </c>
      <c r="W50" t="str">
        <f t="shared" si="8"/>
        <v xml:space="preserve">Chiyotairyu, </v>
      </c>
    </row>
    <row r="51" spans="1:23">
      <c r="A51" s="1" t="s">
        <v>168</v>
      </c>
      <c r="D51" t="s">
        <v>152</v>
      </c>
      <c r="E51" s="1" t="s">
        <v>170</v>
      </c>
      <c r="F51" s="1" t="s">
        <v>187</v>
      </c>
      <c r="G51" s="1" t="e">
        <f>_xlfn.XLOOKUP(F51,'rank lookup'!$A$1:$A$21,'rank lookup'!$B$1:$B$21,,0)</f>
        <v>#N/A</v>
      </c>
      <c r="I51" s="19">
        <v>185</v>
      </c>
      <c r="J51" s="19">
        <v>174</v>
      </c>
      <c r="K51" s="5">
        <f t="shared" si="10"/>
        <v>50.840029218407601</v>
      </c>
      <c r="L51" s="4">
        <f t="shared" si="11"/>
        <v>72.834645669291348</v>
      </c>
      <c r="M51">
        <f t="shared" si="12"/>
        <v>6</v>
      </c>
      <c r="N51">
        <f t="shared" si="13"/>
        <v>0.8</v>
      </c>
      <c r="O51" t="str">
        <f t="shared" si="14"/>
        <v>6' 0.8"</v>
      </c>
      <c r="P51">
        <f t="shared" si="15"/>
        <v>384</v>
      </c>
      <c r="T51">
        <f>_xlfn.XLOOKUP(A51,'January 2023 Data'!$A$4:$A$49,'January 2023 Data'!$H$4:$H$49,,0)</f>
        <v>185</v>
      </c>
      <c r="U51">
        <f t="shared" si="7"/>
        <v>0</v>
      </c>
      <c r="W51" t="str">
        <f t="shared" si="8"/>
        <v xml:space="preserve">Atamifuji, </v>
      </c>
    </row>
    <row r="52" spans="1:23">
      <c r="A52" s="1" t="s">
        <v>126</v>
      </c>
      <c r="B52" s="1"/>
      <c r="C52" s="1" t="s">
        <v>152</v>
      </c>
      <c r="D52" s="1" t="s">
        <v>154</v>
      </c>
      <c r="E52" s="1" t="s">
        <v>180</v>
      </c>
      <c r="F52" s="1" t="s">
        <v>194</v>
      </c>
      <c r="G52" s="1" t="e">
        <f>_xlfn.XLOOKUP(F52,'rank lookup'!$A$1:$A$21,'rank lookup'!$B$1:$B$21,,0)</f>
        <v>#N/A</v>
      </c>
      <c r="H52" s="1"/>
      <c r="I52" s="19">
        <v>169</v>
      </c>
      <c r="J52" s="19">
        <v>107</v>
      </c>
      <c r="K52" s="5">
        <f t="shared" si="10"/>
        <v>37.463674241098005</v>
      </c>
      <c r="L52" s="4">
        <f t="shared" si="11"/>
        <v>66.535433070866134</v>
      </c>
      <c r="M52">
        <f t="shared" si="12"/>
        <v>5</v>
      </c>
      <c r="N52">
        <f t="shared" si="13"/>
        <v>6.5</v>
      </c>
      <c r="O52" t="str">
        <f t="shared" si="14"/>
        <v>5' 6.5"</v>
      </c>
      <c r="P52">
        <f t="shared" si="15"/>
        <v>236</v>
      </c>
      <c r="T52">
        <f>_xlfn.XLOOKUP(A52,'January 2023 Data'!$A$4:$A$49,'January 2023 Data'!$H$4:$H$49,,0)</f>
        <v>169</v>
      </c>
      <c r="U52">
        <f t="shared" si="7"/>
        <v>0</v>
      </c>
      <c r="W52" t="str">
        <f t="shared" si="8"/>
        <v xml:space="preserve">Terutsuyoshi, </v>
      </c>
    </row>
    <row r="53" spans="1:23">
      <c r="A53" s="1" t="s">
        <v>107</v>
      </c>
      <c r="B53" s="1"/>
      <c r="C53" s="1" t="s">
        <v>151</v>
      </c>
      <c r="D53" s="1" t="s">
        <v>169</v>
      </c>
      <c r="E53" s="1" t="s">
        <v>179</v>
      </c>
      <c r="F53" s="1"/>
      <c r="G53" s="1" t="e">
        <f>_xlfn.XLOOKUP(F53,'rank lookup'!$A$1:$A$21,'rank lookup'!$B$1:$B$21,,0)</f>
        <v>#N/A</v>
      </c>
      <c r="H53" s="1"/>
      <c r="I53" s="19">
        <v>185</v>
      </c>
      <c r="J53" s="19">
        <v>181</v>
      </c>
      <c r="K53" s="5">
        <f t="shared" si="10"/>
        <v>52.885317750182615</v>
      </c>
      <c r="L53" s="4">
        <f t="shared" si="11"/>
        <v>72.834645669291348</v>
      </c>
      <c r="M53">
        <f t="shared" si="12"/>
        <v>6</v>
      </c>
      <c r="N53">
        <f t="shared" si="13"/>
        <v>0.8</v>
      </c>
      <c r="O53" t="str">
        <f t="shared" si="14"/>
        <v>6' 0.8"</v>
      </c>
      <c r="P53">
        <f t="shared" si="15"/>
        <v>399</v>
      </c>
      <c r="T53">
        <f>_xlfn.XLOOKUP(A53,'January 2023 Data'!$A$4:$A$49,'January 2023 Data'!$H$4:$H$49,,0)</f>
        <v>185</v>
      </c>
      <c r="U53">
        <f t="shared" si="7"/>
        <v>0</v>
      </c>
      <c r="W53" t="str">
        <f t="shared" si="8"/>
        <v xml:space="preserve">Yutakayama, </v>
      </c>
    </row>
  </sheetData>
  <autoFilter ref="A3:P38" xr:uid="{7067DD38-AD06-4250-9520-A2F29B57D9C0}">
    <sortState xmlns:xlrd2="http://schemas.microsoft.com/office/spreadsheetml/2017/richdata2" ref="A4:P53">
      <sortCondition ref="G3:G38"/>
    </sortState>
  </autoFilter>
  <hyperlinks>
    <hyperlink ref="C2" r:id="rId1" xr:uid="{987FCF13-1964-45BC-85C8-B147D9B22A9E}"/>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Charts</vt:lpstr>
      </vt:variant>
      <vt:variant>
        <vt:i4>9</vt:i4>
      </vt:variant>
    </vt:vector>
  </HeadingPairs>
  <TitlesOfParts>
    <vt:vector size="19" baseType="lpstr">
      <vt:lpstr>September 2022 Data</vt:lpstr>
      <vt:lpstr>January 2023 Data</vt:lpstr>
      <vt:lpstr>November 2022 Data</vt:lpstr>
      <vt:lpstr>rank lookup</vt:lpstr>
      <vt:lpstr>Jan 2022 Data</vt:lpstr>
      <vt:lpstr>Jan 2022 Graph Prep</vt:lpstr>
      <vt:lpstr>Original Graph Dec 24 2021</vt:lpstr>
      <vt:lpstr>May 2023 Data</vt:lpstr>
      <vt:lpstr>March 2023 Data</vt:lpstr>
      <vt:lpstr>Documentation Information</vt:lpstr>
      <vt:lpstr>Makuuchi Scatterplot Jan 2022</vt:lpstr>
      <vt:lpstr>BMI Histogram</vt:lpstr>
      <vt:lpstr>Makuuchi Sept 2022</vt:lpstr>
      <vt:lpstr>Makuuchi Nov 2022</vt:lpstr>
      <vt:lpstr>Makuuchi Nov 2022 DISPLAY</vt:lpstr>
      <vt:lpstr>Makuuchi Jan 2023</vt:lpstr>
      <vt:lpstr>Weight change Nov 22 - Jan 23</vt:lpstr>
      <vt:lpstr>Makuuchi March 2023</vt:lpstr>
      <vt:lpstr>Makuuchi May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Pat Campbell</dc:creator>
  <cp:lastModifiedBy>Mary Pat Campbell</cp:lastModifiedBy>
  <dcterms:created xsi:type="dcterms:W3CDTF">2022-01-05T16:28:32Z</dcterms:created>
  <dcterms:modified xsi:type="dcterms:W3CDTF">2023-05-07T21:30:37Z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{1867E8E5-0BA6-4B5B-99AF-AC2AC410D387}</vt:lpwstr>
  </property>
</Properties>
</file>