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1.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9.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0.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https://conning-my.sharepoint.com/personal/marypat_campbell_conning_com/Documents/Documents/STUMP writing/sumo/"/>
    </mc:Choice>
  </mc:AlternateContent>
  <xr:revisionPtr revIDLastSave="169" documentId="8_{1316E5D7-0717-466B-872F-D034B38B5633}" xr6:coauthVersionLast="47" xr6:coauthVersionMax="47" xr10:uidLastSave="{EDD4542B-3BA7-4CA7-87BF-1870E1BA6F13}"/>
  <bookViews>
    <workbookView xWindow="-110" yWindow="-110" windowWidth="25820" windowHeight="14020" firstSheet="20" activeTab="20" xr2:uid="{F1E5599D-F05E-40F4-BE24-B0CCA4146CB8}"/>
  </bookViews>
  <sheets>
    <sheet name="Makuuchi Scatterplot Jan 2022" sheetId="4" state="hidden" r:id="rId1"/>
    <sheet name="BMI Histogram" sheetId="5" state="hidden" r:id="rId2"/>
    <sheet name="Makuuchi Sept 2022" sheetId="13" state="hidden" r:id="rId3"/>
    <sheet name="Makuuchi Nov 2022" sheetId="15" state="hidden" r:id="rId4"/>
    <sheet name="Makuuchi Nov 2022 DISPLAY" sheetId="16" state="hidden" r:id="rId5"/>
    <sheet name="September 2022 Data" sheetId="11" state="hidden" r:id="rId6"/>
    <sheet name="Makuuchi Jan 2023" sheetId="22" state="hidden" r:id="rId7"/>
    <sheet name="Weight change Nov 22 - Jan 23" sheetId="21" state="hidden" r:id="rId8"/>
    <sheet name="Makuuchi March 2023" sheetId="27" state="hidden" r:id="rId9"/>
    <sheet name="January 2023 Data" sheetId="17" state="hidden" r:id="rId10"/>
    <sheet name="November 2022 Data" sheetId="14" state="hidden" r:id="rId11"/>
    <sheet name="rank lookup" sheetId="12" state="hidden" r:id="rId12"/>
    <sheet name="Jan 2022 Data" sheetId="1" state="hidden" r:id="rId13"/>
    <sheet name="Jan 2022 Graph Prep" sheetId="6" state="hidden" r:id="rId14"/>
    <sheet name="Original Graph Dec 24 2021" sheetId="2" state="hidden" r:id="rId15"/>
    <sheet name="Makuuchi May 2023" sheetId="31" state="hidden" r:id="rId16"/>
    <sheet name="May 2023 Data" sheetId="30" state="hidden" r:id="rId17"/>
    <sheet name="March 2023 Data" sheetId="26" state="hidden" r:id="rId18"/>
    <sheet name="Makuuchi July 2023" sheetId="33" state="hidden" r:id="rId19"/>
    <sheet name="July 2023 Data" sheetId="32" state="hidden" r:id="rId20"/>
    <sheet name="September 2023 Data" sheetId="35" r:id="rId21"/>
    <sheet name="Makuuchi Sept 2023" sheetId="36" r:id="rId22"/>
    <sheet name="Makuuchi Sept 2023 plus Trump" sheetId="37" r:id="rId23"/>
    <sheet name="Documentation Information" sheetId="3" r:id="rId24"/>
  </sheets>
  <externalReferences>
    <externalReference r:id="rId25"/>
  </externalReferences>
  <definedNames>
    <definedName name="_xlnm._FilterDatabase" localSheetId="9" hidden="1">'January 2023 Data'!$A$3:$O$38</definedName>
    <definedName name="_xlnm._FilterDatabase" localSheetId="19" hidden="1">'July 2023 Data'!$A$3:$R$55</definedName>
    <definedName name="_xlnm._FilterDatabase" localSheetId="17" hidden="1">'March 2023 Data'!$A$3:$P$38</definedName>
    <definedName name="_xlnm._FilterDatabase" localSheetId="16" hidden="1">'May 2023 Data'!$A$3:$R$55</definedName>
    <definedName name="_xlnm._FilterDatabase" localSheetId="10" hidden="1">'November 2022 Data'!$A$3:$N$38</definedName>
    <definedName name="_xlnm._FilterDatabase" localSheetId="5" hidden="1">'September 2022 Data'!$A$3:$L$38</definedName>
    <definedName name="_xlnm._FilterDatabase" localSheetId="20" hidden="1">'September 2023 Data'!$A$3:$S$55</definedName>
    <definedName name="_xlchart.v1.0" hidden="1">'November 2022 Data'!$I$4:$I$45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olver_eng" localSheetId="12" hidden="1">1</definedName>
    <definedName name="solver_eng" localSheetId="13" hidden="1">1</definedName>
    <definedName name="solver_eng" localSheetId="9" hidden="1">1</definedName>
    <definedName name="solver_eng" localSheetId="19" hidden="1">1</definedName>
    <definedName name="solver_eng" localSheetId="17" hidden="1">1</definedName>
    <definedName name="solver_eng" localSheetId="16" hidden="1">1</definedName>
    <definedName name="solver_eng" localSheetId="10" hidden="1">1</definedName>
    <definedName name="solver_eng" localSheetId="5" hidden="1">1</definedName>
    <definedName name="solver_eng" localSheetId="20" hidden="1">1</definedName>
    <definedName name="solver_neg" localSheetId="12" hidden="1">1</definedName>
    <definedName name="solver_neg" localSheetId="13" hidden="1">1</definedName>
    <definedName name="solver_neg" localSheetId="9" hidden="1">1</definedName>
    <definedName name="solver_neg" localSheetId="19" hidden="1">1</definedName>
    <definedName name="solver_neg" localSheetId="17" hidden="1">1</definedName>
    <definedName name="solver_neg" localSheetId="16" hidden="1">1</definedName>
    <definedName name="solver_neg" localSheetId="10" hidden="1">1</definedName>
    <definedName name="solver_neg" localSheetId="5" hidden="1">1</definedName>
    <definedName name="solver_neg" localSheetId="20" hidden="1">1</definedName>
    <definedName name="solver_num" localSheetId="12" hidden="1">0</definedName>
    <definedName name="solver_num" localSheetId="13" hidden="1">0</definedName>
    <definedName name="solver_num" localSheetId="9" hidden="1">0</definedName>
    <definedName name="solver_num" localSheetId="19" hidden="1">0</definedName>
    <definedName name="solver_num" localSheetId="17" hidden="1">0</definedName>
    <definedName name="solver_num" localSheetId="16" hidden="1">0</definedName>
    <definedName name="solver_num" localSheetId="10" hidden="1">0</definedName>
    <definedName name="solver_num" localSheetId="5" hidden="1">0</definedName>
    <definedName name="solver_num" localSheetId="20" hidden="1">0</definedName>
    <definedName name="solver_opt" localSheetId="12" hidden="1">'Jan 2022 Data'!$D$2</definedName>
    <definedName name="solver_opt" localSheetId="13" hidden="1">'Jan 2022 Graph Prep'!$D$2</definedName>
    <definedName name="solver_opt" localSheetId="9" hidden="1">'January 2023 Data'!$H$3</definedName>
    <definedName name="solver_opt" localSheetId="19" hidden="1">'July 2023 Data'!$K$3</definedName>
    <definedName name="solver_opt" localSheetId="17" hidden="1">'March 2023 Data'!$I$3</definedName>
    <definedName name="solver_opt" localSheetId="16" hidden="1">'May 2023 Data'!$K$3</definedName>
    <definedName name="solver_opt" localSheetId="10" hidden="1">'November 2022 Data'!$G$3</definedName>
    <definedName name="solver_opt" localSheetId="5" hidden="1">'September 2022 Data'!$E$3</definedName>
    <definedName name="solver_opt" localSheetId="20" hidden="1">'September 2023 Data'!$L$3</definedName>
    <definedName name="solver_typ" localSheetId="12" hidden="1">1</definedName>
    <definedName name="solver_typ" localSheetId="13" hidden="1">1</definedName>
    <definedName name="solver_typ" localSheetId="9" hidden="1">1</definedName>
    <definedName name="solver_typ" localSheetId="19" hidden="1">1</definedName>
    <definedName name="solver_typ" localSheetId="17" hidden="1">1</definedName>
    <definedName name="solver_typ" localSheetId="16" hidden="1">1</definedName>
    <definedName name="solver_typ" localSheetId="10" hidden="1">1</definedName>
    <definedName name="solver_typ" localSheetId="5" hidden="1">1</definedName>
    <definedName name="solver_typ" localSheetId="20" hidden="1">1</definedName>
    <definedName name="solver_val" localSheetId="12" hidden="1">0</definedName>
    <definedName name="solver_val" localSheetId="13" hidden="1">0</definedName>
    <definedName name="solver_val" localSheetId="9" hidden="1">0</definedName>
    <definedName name="solver_val" localSheetId="19" hidden="1">0</definedName>
    <definedName name="solver_val" localSheetId="17" hidden="1">0</definedName>
    <definedName name="solver_val" localSheetId="16" hidden="1">0</definedName>
    <definedName name="solver_val" localSheetId="10" hidden="1">0</definedName>
    <definedName name="solver_val" localSheetId="5" hidden="1">0</definedName>
    <definedName name="solver_val" localSheetId="20" hidden="1">0</definedName>
    <definedName name="solver_ver" localSheetId="12" hidden="1">3</definedName>
    <definedName name="solver_ver" localSheetId="13" hidden="1">3</definedName>
    <definedName name="solver_ver" localSheetId="9" hidden="1">3</definedName>
    <definedName name="solver_ver" localSheetId="19" hidden="1">3</definedName>
    <definedName name="solver_ver" localSheetId="17" hidden="1">3</definedName>
    <definedName name="solver_ver" localSheetId="16" hidden="1">3</definedName>
    <definedName name="solver_ver" localSheetId="10" hidden="1">3</definedName>
    <definedName name="solver_ver" localSheetId="5" hidden="1">3</definedName>
    <definedName name="solver_ver" localSheetId="20" hidden="1">3</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57" i="35" l="1"/>
  <c r="J56" i="35"/>
  <c r="J42" i="35"/>
  <c r="J55" i="35"/>
  <c r="J54" i="35"/>
  <c r="J53" i="35"/>
  <c r="J52" i="35"/>
  <c r="J51" i="35"/>
  <c r="J44" i="35"/>
  <c r="J50" i="35"/>
  <c r="J49" i="35"/>
  <c r="J48" i="35"/>
  <c r="J30" i="35"/>
  <c r="J40" i="35"/>
  <c r="J47" i="35"/>
  <c r="J32" i="35"/>
  <c r="J36" i="35"/>
  <c r="J24" i="35"/>
  <c r="J22" i="35"/>
  <c r="J45" i="35"/>
  <c r="J21" i="35"/>
  <c r="J39" i="35"/>
  <c r="J41" i="35"/>
  <c r="J46" i="35"/>
  <c r="J43" i="35"/>
  <c r="J28" i="35"/>
  <c r="J38" i="35"/>
  <c r="J31" i="35"/>
  <c r="J20" i="35"/>
  <c r="J14" i="35"/>
  <c r="J35" i="35"/>
  <c r="J37" i="35"/>
  <c r="J18" i="35"/>
  <c r="J26" i="35"/>
  <c r="J25" i="35"/>
  <c r="J34" i="35"/>
  <c r="J27" i="35"/>
  <c r="J23" i="35"/>
  <c r="J16" i="35"/>
  <c r="J19" i="35"/>
  <c r="J13" i="35"/>
  <c r="J29" i="35"/>
  <c r="J33" i="35"/>
  <c r="J17" i="35"/>
  <c r="J12" i="35"/>
  <c r="J11" i="35"/>
  <c r="J15" i="35"/>
  <c r="J10" i="35"/>
  <c r="J9" i="35"/>
  <c r="J8" i="35"/>
  <c r="J7" i="35"/>
  <c r="J6" i="35"/>
  <c r="J5" i="35"/>
  <c r="J4" i="35"/>
  <c r="S58" i="35"/>
  <c r="O58" i="35"/>
  <c r="N58" i="35"/>
  <c r="S57" i="35"/>
  <c r="O57" i="35"/>
  <c r="P57" i="35" s="1"/>
  <c r="N57" i="35"/>
  <c r="S56" i="35"/>
  <c r="O56" i="35"/>
  <c r="P56" i="35" s="1"/>
  <c r="N56" i="35"/>
  <c r="S42" i="35"/>
  <c r="O42" i="35"/>
  <c r="N42" i="35"/>
  <c r="S55" i="35"/>
  <c r="O55" i="35"/>
  <c r="N55" i="35"/>
  <c r="S54" i="35"/>
  <c r="O54" i="35"/>
  <c r="P54" i="35" s="1"/>
  <c r="N54" i="35"/>
  <c r="S53" i="35"/>
  <c r="O53" i="35"/>
  <c r="P53" i="35" s="1"/>
  <c r="N53" i="35"/>
  <c r="S52" i="35"/>
  <c r="O52" i="35"/>
  <c r="N52" i="35"/>
  <c r="S51" i="35"/>
  <c r="O51" i="35"/>
  <c r="N51" i="35"/>
  <c r="S44" i="35"/>
  <c r="O44" i="35"/>
  <c r="P44" i="35" s="1"/>
  <c r="N44" i="35"/>
  <c r="S50" i="35"/>
  <c r="O50" i="35"/>
  <c r="P50" i="35" s="1"/>
  <c r="N50" i="35"/>
  <c r="S49" i="35"/>
  <c r="O49" i="35"/>
  <c r="N49" i="35"/>
  <c r="S48" i="35"/>
  <c r="O48" i="35"/>
  <c r="N48" i="35"/>
  <c r="U45" i="35"/>
  <c r="T45" i="35"/>
  <c r="S30" i="35"/>
  <c r="O30" i="35"/>
  <c r="N30" i="35"/>
  <c r="U44" i="35"/>
  <c r="T44" i="35"/>
  <c r="S40" i="35"/>
  <c r="O40" i="35"/>
  <c r="N40" i="35"/>
  <c r="U43" i="35"/>
  <c r="T43" i="35"/>
  <c r="S47" i="35"/>
  <c r="O47" i="35"/>
  <c r="N47" i="35"/>
  <c r="U42" i="35"/>
  <c r="T42" i="35"/>
  <c r="S32" i="35"/>
  <c r="O32" i="35"/>
  <c r="N32" i="35"/>
  <c r="U41" i="35"/>
  <c r="T41" i="35"/>
  <c r="S36" i="35"/>
  <c r="O36" i="35"/>
  <c r="N36" i="35"/>
  <c r="U40" i="35"/>
  <c r="T40" i="35"/>
  <c r="S24" i="35"/>
  <c r="P24" i="35"/>
  <c r="O24" i="35"/>
  <c r="N24" i="35"/>
  <c r="U39" i="35"/>
  <c r="T39" i="35"/>
  <c r="S22" i="35"/>
  <c r="O22" i="35"/>
  <c r="P22" i="35" s="1"/>
  <c r="N22" i="35"/>
  <c r="U38" i="35"/>
  <c r="T38" i="35"/>
  <c r="S45" i="35"/>
  <c r="P45" i="35"/>
  <c r="O45" i="35"/>
  <c r="N45" i="35"/>
  <c r="U37" i="35"/>
  <c r="T37" i="35"/>
  <c r="S21" i="35"/>
  <c r="O21" i="35"/>
  <c r="P21" i="35" s="1"/>
  <c r="N21" i="35"/>
  <c r="U36" i="35"/>
  <c r="T36" i="35"/>
  <c r="S39" i="35"/>
  <c r="O39" i="35"/>
  <c r="N39" i="35"/>
  <c r="U35" i="35"/>
  <c r="T35" i="35"/>
  <c r="S41" i="35"/>
  <c r="O41" i="35"/>
  <c r="P41" i="35" s="1"/>
  <c r="N41" i="35"/>
  <c r="U34" i="35"/>
  <c r="T34" i="35"/>
  <c r="S46" i="35"/>
  <c r="Q46" i="35"/>
  <c r="P46" i="35"/>
  <c r="O46" i="35"/>
  <c r="N46" i="35"/>
  <c r="U33" i="35"/>
  <c r="T33" i="35"/>
  <c r="S43" i="35"/>
  <c r="O43" i="35"/>
  <c r="N43" i="35"/>
  <c r="U32" i="35"/>
  <c r="T32" i="35"/>
  <c r="S28" i="35"/>
  <c r="O28" i="35"/>
  <c r="P28" i="35" s="1"/>
  <c r="N28" i="35"/>
  <c r="U31" i="35"/>
  <c r="T31" i="35"/>
  <c r="S38" i="35"/>
  <c r="O38" i="35"/>
  <c r="P38" i="35" s="1"/>
  <c r="N38" i="35"/>
  <c r="U30" i="35"/>
  <c r="T30" i="35"/>
  <c r="S31" i="35"/>
  <c r="P31" i="35"/>
  <c r="O31" i="35"/>
  <c r="N31" i="35"/>
  <c r="U29" i="35"/>
  <c r="T29" i="35"/>
  <c r="S20" i="35"/>
  <c r="O20" i="35"/>
  <c r="P20" i="35" s="1"/>
  <c r="N20" i="35"/>
  <c r="U28" i="35"/>
  <c r="T28" i="35"/>
  <c r="S14" i="35"/>
  <c r="O14" i="35"/>
  <c r="N14" i="35"/>
  <c r="U27" i="35"/>
  <c r="T27" i="35"/>
  <c r="S35" i="35"/>
  <c r="P35" i="35"/>
  <c r="O35" i="35"/>
  <c r="N35" i="35"/>
  <c r="U26" i="35"/>
  <c r="T26" i="35"/>
  <c r="S37" i="35"/>
  <c r="O37" i="35"/>
  <c r="N37" i="35"/>
  <c r="U25" i="35"/>
  <c r="T25" i="35"/>
  <c r="S18" i="35"/>
  <c r="O18" i="35"/>
  <c r="N18" i="35"/>
  <c r="U24" i="35"/>
  <c r="T24" i="35"/>
  <c r="S26" i="35"/>
  <c r="P26" i="35"/>
  <c r="O26" i="35"/>
  <c r="N26" i="35"/>
  <c r="U23" i="35"/>
  <c r="T23" i="35"/>
  <c r="S25" i="35"/>
  <c r="O25" i="35"/>
  <c r="P25" i="35" s="1"/>
  <c r="N25" i="35"/>
  <c r="U22" i="35"/>
  <c r="T22" i="35"/>
  <c r="S34" i="35"/>
  <c r="O34" i="35"/>
  <c r="N34" i="35"/>
  <c r="U21" i="35"/>
  <c r="T21" i="35"/>
  <c r="S27" i="35"/>
  <c r="O27" i="35"/>
  <c r="P27" i="35" s="1"/>
  <c r="N27" i="35"/>
  <c r="U20" i="35"/>
  <c r="T20" i="35"/>
  <c r="S23" i="35"/>
  <c r="O23" i="35"/>
  <c r="N23" i="35"/>
  <c r="U19" i="35"/>
  <c r="T19" i="35"/>
  <c r="S16" i="35"/>
  <c r="O16" i="35"/>
  <c r="N16" i="35"/>
  <c r="U18" i="35"/>
  <c r="U2" i="35" s="1"/>
  <c r="T18" i="35"/>
  <c r="S19" i="35"/>
  <c r="O19" i="35"/>
  <c r="P19" i="35" s="1"/>
  <c r="N19" i="35"/>
  <c r="U17" i="35"/>
  <c r="T17" i="35"/>
  <c r="S13" i="35"/>
  <c r="O13" i="35"/>
  <c r="N13" i="35"/>
  <c r="U16" i="35"/>
  <c r="T16" i="35"/>
  <c r="S29" i="35"/>
  <c r="AE4" i="35" s="1"/>
  <c r="O29" i="35"/>
  <c r="N29" i="35"/>
  <c r="U15" i="35"/>
  <c r="T15" i="35"/>
  <c r="S33" i="35"/>
  <c r="O33" i="35"/>
  <c r="P33" i="35" s="1"/>
  <c r="N33" i="35"/>
  <c r="U14" i="35"/>
  <c r="T14" i="35"/>
  <c r="S17" i="35"/>
  <c r="P17" i="35"/>
  <c r="Q17" i="35" s="1"/>
  <c r="R17" i="35" s="1"/>
  <c r="O17" i="35"/>
  <c r="N17" i="35"/>
  <c r="U13" i="35"/>
  <c r="T13" i="35"/>
  <c r="S12" i="35"/>
  <c r="O12" i="35"/>
  <c r="P12" i="35" s="1"/>
  <c r="N12" i="35"/>
  <c r="U12" i="35"/>
  <c r="T12" i="35"/>
  <c r="S11" i="35"/>
  <c r="O11" i="35"/>
  <c r="N11" i="35"/>
  <c r="U11" i="35"/>
  <c r="T11" i="35"/>
  <c r="S15" i="35"/>
  <c r="P15" i="35"/>
  <c r="O15" i="35"/>
  <c r="N15" i="35"/>
  <c r="U10" i="35"/>
  <c r="T10" i="35"/>
  <c r="S10" i="35"/>
  <c r="Q10" i="35"/>
  <c r="P10" i="35"/>
  <c r="O10" i="35"/>
  <c r="N10" i="35"/>
  <c r="U9" i="35"/>
  <c r="T9" i="35"/>
  <c r="S9" i="35"/>
  <c r="O9" i="35"/>
  <c r="N9" i="35"/>
  <c r="V9" i="35" s="1"/>
  <c r="U8" i="35"/>
  <c r="T8" i="35"/>
  <c r="S8" i="35"/>
  <c r="O8" i="35"/>
  <c r="N8" i="35"/>
  <c r="U7" i="35"/>
  <c r="T7" i="35"/>
  <c r="S7" i="35"/>
  <c r="O7" i="35"/>
  <c r="P7" i="35" s="1"/>
  <c r="N7" i="35"/>
  <c r="U6" i="35"/>
  <c r="T6" i="35"/>
  <c r="S6" i="35"/>
  <c r="O6" i="35"/>
  <c r="P6" i="35" s="1"/>
  <c r="Q6" i="35" s="1"/>
  <c r="R6" i="35" s="1"/>
  <c r="N6" i="35"/>
  <c r="U5" i="35"/>
  <c r="T5" i="35"/>
  <c r="S5" i="35"/>
  <c r="O5" i="35"/>
  <c r="P5" i="35" s="1"/>
  <c r="N5" i="35"/>
  <c r="AA4" i="35"/>
  <c r="Y4" i="35"/>
  <c r="X4" i="35"/>
  <c r="U4" i="35"/>
  <c r="T4" i="35"/>
  <c r="S4" i="35"/>
  <c r="O4" i="35"/>
  <c r="N4" i="35"/>
  <c r="M58" i="32"/>
  <c r="R58" i="32"/>
  <c r="N58" i="32"/>
  <c r="O58" i="32"/>
  <c r="P58" i="32" s="1"/>
  <c r="AA4" i="32"/>
  <c r="AB4" i="32"/>
  <c r="AC4" i="32"/>
  <c r="AD4" i="32"/>
  <c r="X4" i="32"/>
  <c r="Y4" i="32"/>
  <c r="Z4" i="32"/>
  <c r="W4" i="32"/>
  <c r="M37" i="32"/>
  <c r="R37" i="32"/>
  <c r="N37" i="32"/>
  <c r="O37" i="32" s="1"/>
  <c r="M39" i="32"/>
  <c r="R39" i="32"/>
  <c r="N39" i="32"/>
  <c r="O39" i="32" s="1"/>
  <c r="M45" i="32"/>
  <c r="R45" i="32"/>
  <c r="N45" i="32"/>
  <c r="O45" i="32" s="1"/>
  <c r="R57" i="32"/>
  <c r="N57" i="32"/>
  <c r="M57" i="32"/>
  <c r="I57" i="32"/>
  <c r="R56" i="32"/>
  <c r="N56" i="32"/>
  <c r="M56" i="32"/>
  <c r="I56" i="32"/>
  <c r="R55" i="32"/>
  <c r="N55" i="32"/>
  <c r="M55" i="32"/>
  <c r="I55" i="32"/>
  <c r="R54" i="32"/>
  <c r="N54" i="32"/>
  <c r="M54" i="32"/>
  <c r="I54" i="32"/>
  <c r="R53" i="32"/>
  <c r="N53" i="32"/>
  <c r="M53" i="32"/>
  <c r="I53" i="32"/>
  <c r="R52" i="32"/>
  <c r="N52" i="32"/>
  <c r="O52" i="32" s="1"/>
  <c r="M52" i="32"/>
  <c r="I52" i="32"/>
  <c r="R51" i="32"/>
  <c r="N51" i="32"/>
  <c r="M51" i="32"/>
  <c r="I51" i="32"/>
  <c r="R50" i="32"/>
  <c r="N50" i="32"/>
  <c r="M50" i="32"/>
  <c r="I50" i="32"/>
  <c r="R49" i="32"/>
  <c r="N49" i="32"/>
  <c r="M49" i="32"/>
  <c r="I49" i="32"/>
  <c r="R48" i="32"/>
  <c r="N48" i="32"/>
  <c r="O48" i="32" s="1"/>
  <c r="M48" i="32"/>
  <c r="I48" i="32"/>
  <c r="R47" i="32"/>
  <c r="N47" i="32"/>
  <c r="M47" i="32"/>
  <c r="I47" i="32"/>
  <c r="R46" i="32"/>
  <c r="N46" i="32"/>
  <c r="M46" i="32"/>
  <c r="I46" i="32"/>
  <c r="T45" i="32"/>
  <c r="S45" i="32"/>
  <c r="I45" i="32"/>
  <c r="T44" i="32"/>
  <c r="S44" i="32"/>
  <c r="R44" i="32"/>
  <c r="N44" i="32"/>
  <c r="O44" i="32" s="1"/>
  <c r="M44" i="32"/>
  <c r="I44" i="32"/>
  <c r="T43" i="32"/>
  <c r="S43" i="32"/>
  <c r="R43" i="32"/>
  <c r="N43" i="32"/>
  <c r="M43" i="32"/>
  <c r="I43" i="32"/>
  <c r="T42" i="32"/>
  <c r="S42" i="32"/>
  <c r="R42" i="32"/>
  <c r="N42" i="32"/>
  <c r="M42" i="32"/>
  <c r="I42" i="32"/>
  <c r="T41" i="32"/>
  <c r="S41" i="32"/>
  <c r="R41" i="32"/>
  <c r="N41" i="32"/>
  <c r="O41" i="32" s="1"/>
  <c r="P41" i="32" s="1"/>
  <c r="M41" i="32"/>
  <c r="I41" i="32"/>
  <c r="T40" i="32"/>
  <c r="S40" i="32"/>
  <c r="R40" i="32"/>
  <c r="N40" i="32"/>
  <c r="O40" i="32" s="1"/>
  <c r="M40" i="32"/>
  <c r="I40" i="32"/>
  <c r="T39" i="32"/>
  <c r="S39" i="32"/>
  <c r="I39" i="32"/>
  <c r="T38" i="32"/>
  <c r="S38" i="32"/>
  <c r="R38" i="32"/>
  <c r="N38" i="32"/>
  <c r="O38" i="32" s="1"/>
  <c r="M38" i="32"/>
  <c r="I38" i="32"/>
  <c r="T37" i="32"/>
  <c r="S37" i="32"/>
  <c r="I37" i="32"/>
  <c r="T36" i="32"/>
  <c r="S36" i="32"/>
  <c r="R36" i="32"/>
  <c r="N36" i="32"/>
  <c r="O36" i="32" s="1"/>
  <c r="M36" i="32"/>
  <c r="I36" i="32"/>
  <c r="T35" i="32"/>
  <c r="S35" i="32"/>
  <c r="R35" i="32"/>
  <c r="N35" i="32"/>
  <c r="M35" i="32"/>
  <c r="I35" i="32"/>
  <c r="T34" i="32"/>
  <c r="S34" i="32"/>
  <c r="R34" i="32"/>
  <c r="N34" i="32"/>
  <c r="M34" i="32"/>
  <c r="I34" i="32"/>
  <c r="T33" i="32"/>
  <c r="S33" i="32"/>
  <c r="R33" i="32"/>
  <c r="N33" i="32"/>
  <c r="O33" i="32" s="1"/>
  <c r="M33" i="32"/>
  <c r="I33" i="32"/>
  <c r="T32" i="32"/>
  <c r="S32" i="32"/>
  <c r="R32" i="32"/>
  <c r="N32" i="32"/>
  <c r="O32" i="32" s="1"/>
  <c r="M32" i="32"/>
  <c r="I32" i="32"/>
  <c r="T31" i="32"/>
  <c r="S31" i="32"/>
  <c r="R31" i="32"/>
  <c r="N31" i="32"/>
  <c r="M31" i="32"/>
  <c r="I31" i="32"/>
  <c r="T30" i="32"/>
  <c r="S30" i="32"/>
  <c r="R30" i="32"/>
  <c r="N30" i="32"/>
  <c r="M30" i="32"/>
  <c r="I30" i="32"/>
  <c r="T29" i="32"/>
  <c r="S29" i="32"/>
  <c r="R29" i="32"/>
  <c r="N29" i="32"/>
  <c r="O29" i="32" s="1"/>
  <c r="M29" i="32"/>
  <c r="I29" i="32"/>
  <c r="T28" i="32"/>
  <c r="S28" i="32"/>
  <c r="R28" i="32"/>
  <c r="N28" i="32"/>
  <c r="O28" i="32" s="1"/>
  <c r="M28" i="32"/>
  <c r="I28" i="32"/>
  <c r="T27" i="32"/>
  <c r="S27" i="32"/>
  <c r="R27" i="32"/>
  <c r="N27" i="32"/>
  <c r="M27" i="32"/>
  <c r="I27" i="32"/>
  <c r="T26" i="32"/>
  <c r="S26" i="32"/>
  <c r="R26" i="32"/>
  <c r="N26" i="32"/>
  <c r="M26" i="32"/>
  <c r="I26" i="32"/>
  <c r="T25" i="32"/>
  <c r="S25" i="32"/>
  <c r="R25" i="32"/>
  <c r="N25" i="32"/>
  <c r="O25" i="32" s="1"/>
  <c r="M25" i="32"/>
  <c r="I25" i="32"/>
  <c r="T24" i="32"/>
  <c r="S24" i="32"/>
  <c r="R24" i="32"/>
  <c r="N24" i="32"/>
  <c r="M24" i="32"/>
  <c r="I24" i="32"/>
  <c r="T23" i="32"/>
  <c r="S23" i="32"/>
  <c r="R23" i="32"/>
  <c r="N23" i="32"/>
  <c r="M23" i="32"/>
  <c r="I23" i="32"/>
  <c r="T22" i="32"/>
  <c r="S22" i="32"/>
  <c r="R22" i="32"/>
  <c r="N22" i="32"/>
  <c r="M22" i="32"/>
  <c r="I22" i="32"/>
  <c r="T21" i="32"/>
  <c r="S21" i="32"/>
  <c r="R21" i="32"/>
  <c r="N21" i="32"/>
  <c r="O21" i="32" s="1"/>
  <c r="M21" i="32"/>
  <c r="I21" i="32"/>
  <c r="T20" i="32"/>
  <c r="S20" i="32"/>
  <c r="R20" i="32"/>
  <c r="N20" i="32"/>
  <c r="O20" i="32" s="1"/>
  <c r="M20" i="32"/>
  <c r="I20" i="32"/>
  <c r="T19" i="32"/>
  <c r="S19" i="32"/>
  <c r="R19" i="32"/>
  <c r="N19" i="32"/>
  <c r="M19" i="32"/>
  <c r="I19" i="32"/>
  <c r="T18" i="32"/>
  <c r="S18" i="32"/>
  <c r="R18" i="32"/>
  <c r="N18" i="32"/>
  <c r="M18" i="32"/>
  <c r="I18" i="32"/>
  <c r="T17" i="32"/>
  <c r="S17" i="32"/>
  <c r="R17" i="32"/>
  <c r="O17" i="32"/>
  <c r="N17" i="32"/>
  <c r="M17" i="32"/>
  <c r="I17" i="32"/>
  <c r="T16" i="32"/>
  <c r="S16" i="32"/>
  <c r="R16" i="32"/>
  <c r="N16" i="32"/>
  <c r="M16" i="32"/>
  <c r="I16" i="32"/>
  <c r="T15" i="32"/>
  <c r="S15" i="32"/>
  <c r="R15" i="32"/>
  <c r="N15" i="32"/>
  <c r="M15" i="32"/>
  <c r="I15" i="32"/>
  <c r="T14" i="32"/>
  <c r="S14" i="32"/>
  <c r="R14" i="32"/>
  <c r="N14" i="32"/>
  <c r="M14" i="32"/>
  <c r="I14" i="32"/>
  <c r="T13" i="32"/>
  <c r="S13" i="32"/>
  <c r="R13" i="32"/>
  <c r="N13" i="32"/>
  <c r="O13" i="32" s="1"/>
  <c r="M13" i="32"/>
  <c r="I13" i="32"/>
  <c r="T12" i="32"/>
  <c r="S12" i="32"/>
  <c r="R12" i="32"/>
  <c r="N12" i="32"/>
  <c r="O12" i="32" s="1"/>
  <c r="M12" i="32"/>
  <c r="I12" i="32"/>
  <c r="T11" i="32"/>
  <c r="S11" i="32"/>
  <c r="R11" i="32"/>
  <c r="N11" i="32"/>
  <c r="O11" i="32" s="1"/>
  <c r="M11" i="32"/>
  <c r="I11" i="32"/>
  <c r="T10" i="32"/>
  <c r="S10" i="32"/>
  <c r="R10" i="32"/>
  <c r="N10" i="32"/>
  <c r="O10" i="32" s="1"/>
  <c r="M10" i="32"/>
  <c r="I10" i="32"/>
  <c r="T9" i="32"/>
  <c r="S9" i="32"/>
  <c r="R9" i="32"/>
  <c r="N9" i="32"/>
  <c r="M9" i="32"/>
  <c r="I9" i="32"/>
  <c r="T8" i="32"/>
  <c r="S8" i="32"/>
  <c r="R8" i="32"/>
  <c r="N8" i="32"/>
  <c r="O8" i="32" s="1"/>
  <c r="M8" i="32"/>
  <c r="I8" i="32"/>
  <c r="T7" i="32"/>
  <c r="S7" i="32"/>
  <c r="R7" i="32"/>
  <c r="N7" i="32"/>
  <c r="O7" i="32" s="1"/>
  <c r="M7" i="32"/>
  <c r="I7" i="32"/>
  <c r="T6" i="32"/>
  <c r="S6" i="32"/>
  <c r="R6" i="32"/>
  <c r="O6" i="32"/>
  <c r="N6" i="32"/>
  <c r="M6" i="32"/>
  <c r="I6" i="32"/>
  <c r="T5" i="32"/>
  <c r="S5" i="32"/>
  <c r="R5" i="32"/>
  <c r="N5" i="32"/>
  <c r="M5" i="32"/>
  <c r="I5" i="32"/>
  <c r="T4" i="32"/>
  <c r="S4" i="32"/>
  <c r="R4" i="32"/>
  <c r="N4" i="32"/>
  <c r="M4" i="32"/>
  <c r="I4" i="32"/>
  <c r="I45" i="30"/>
  <c r="Y57" i="30"/>
  <c r="I39" i="30"/>
  <c r="Y56" i="30"/>
  <c r="I37" i="30"/>
  <c r="Y55" i="30"/>
  <c r="I57" i="30"/>
  <c r="I56" i="30"/>
  <c r="I55" i="30"/>
  <c r="I54" i="30"/>
  <c r="I53" i="30"/>
  <c r="I52" i="30"/>
  <c r="I51" i="30"/>
  <c r="I43" i="30"/>
  <c r="I50" i="30"/>
  <c r="I49" i="30"/>
  <c r="I48" i="30"/>
  <c r="I23" i="30"/>
  <c r="I33" i="30"/>
  <c r="I47" i="30"/>
  <c r="I19" i="30"/>
  <c r="I31" i="30"/>
  <c r="I46" i="30"/>
  <c r="I35" i="30"/>
  <c r="I32" i="30"/>
  <c r="I44" i="30"/>
  <c r="I22" i="30"/>
  <c r="I38" i="30"/>
  <c r="I41" i="30"/>
  <c r="I40" i="30"/>
  <c r="I21" i="30"/>
  <c r="I20" i="30"/>
  <c r="I29" i="30"/>
  <c r="I27" i="30"/>
  <c r="I28" i="30"/>
  <c r="I25" i="30"/>
  <c r="I17" i="30"/>
  <c r="I15" i="30"/>
  <c r="I30" i="30"/>
  <c r="I36" i="30"/>
  <c r="I18" i="30"/>
  <c r="I13" i="30"/>
  <c r="I26" i="30"/>
  <c r="I12" i="30"/>
  <c r="I24" i="30"/>
  <c r="I42" i="30"/>
  <c r="I16" i="30"/>
  <c r="I11" i="30"/>
  <c r="I14" i="30"/>
  <c r="I10" i="30"/>
  <c r="I34" i="30"/>
  <c r="I9" i="30"/>
  <c r="I8" i="30"/>
  <c r="I6" i="30"/>
  <c r="I7" i="30"/>
  <c r="I5" i="30"/>
  <c r="I4" i="30"/>
  <c r="M19" i="30"/>
  <c r="R19" i="30"/>
  <c r="N19" i="30"/>
  <c r="O19" i="30" s="1"/>
  <c r="Y54" i="30"/>
  <c r="Y53" i="30"/>
  <c r="V53" i="30"/>
  <c r="W53" i="30" s="1"/>
  <c r="R57" i="30"/>
  <c r="N57" i="30"/>
  <c r="M57" i="30"/>
  <c r="Y52" i="30"/>
  <c r="V52" i="30"/>
  <c r="W52" i="30" s="1"/>
  <c r="R56" i="30"/>
  <c r="N56" i="30"/>
  <c r="O56" i="30" s="1"/>
  <c r="M56" i="30"/>
  <c r="Y51" i="30"/>
  <c r="V51" i="30"/>
  <c r="W51" i="30" s="1"/>
  <c r="R55" i="30"/>
  <c r="N55" i="30"/>
  <c r="O55" i="30" s="1"/>
  <c r="M55" i="30"/>
  <c r="Y50" i="30"/>
  <c r="V50" i="30"/>
  <c r="W50" i="30" s="1"/>
  <c r="R54" i="30"/>
  <c r="N54" i="30"/>
  <c r="O54" i="30" s="1"/>
  <c r="M54" i="30"/>
  <c r="Y49" i="30"/>
  <c r="V49" i="30"/>
  <c r="W49" i="30" s="1"/>
  <c r="R53" i="30"/>
  <c r="N53" i="30"/>
  <c r="O53" i="30" s="1"/>
  <c r="M53" i="30"/>
  <c r="Y48" i="30"/>
  <c r="V48" i="30"/>
  <c r="W48" i="30" s="1"/>
  <c r="R52" i="30"/>
  <c r="N52" i="30"/>
  <c r="M52" i="30"/>
  <c r="Y47" i="30"/>
  <c r="V47" i="30"/>
  <c r="W47" i="30" s="1"/>
  <c r="R51" i="30"/>
  <c r="N51" i="30"/>
  <c r="O51" i="30" s="1"/>
  <c r="M51" i="30"/>
  <c r="Y46" i="30"/>
  <c r="V46" i="30"/>
  <c r="W46" i="30" s="1"/>
  <c r="R46" i="30"/>
  <c r="N46" i="30"/>
  <c r="O46" i="30" s="1"/>
  <c r="M46" i="30"/>
  <c r="Y45" i="30"/>
  <c r="V45" i="30"/>
  <c r="W45" i="30" s="1"/>
  <c r="T45" i="30"/>
  <c r="S45" i="30"/>
  <c r="R48" i="30"/>
  <c r="N48" i="30"/>
  <c r="O48" i="30" s="1"/>
  <c r="M48" i="30"/>
  <c r="Y44" i="30"/>
  <c r="V44" i="30"/>
  <c r="W44" i="30" s="1"/>
  <c r="T44" i="30"/>
  <c r="S44" i="30"/>
  <c r="R33" i="30"/>
  <c r="N33" i="30"/>
  <c r="O33" i="30" s="1"/>
  <c r="M33" i="30"/>
  <c r="Y43" i="30"/>
  <c r="V43" i="30"/>
  <c r="W43" i="30" s="1"/>
  <c r="T43" i="30"/>
  <c r="S43" i="30"/>
  <c r="R35" i="30"/>
  <c r="N35" i="30"/>
  <c r="O35" i="30" s="1"/>
  <c r="M35" i="30"/>
  <c r="Y42" i="30"/>
  <c r="V42" i="30"/>
  <c r="W42" i="30" s="1"/>
  <c r="T42" i="30"/>
  <c r="S42" i="30"/>
  <c r="R22" i="30"/>
  <c r="N22" i="30"/>
  <c r="O22" i="30" s="1"/>
  <c r="M22" i="30"/>
  <c r="Y41" i="30"/>
  <c r="V41" i="30"/>
  <c r="W41" i="30" s="1"/>
  <c r="T41" i="30"/>
  <c r="S41" i="30"/>
  <c r="R23" i="30"/>
  <c r="N23" i="30"/>
  <c r="O23" i="30" s="1"/>
  <c r="M23" i="30"/>
  <c r="Y40" i="30"/>
  <c r="V40" i="30"/>
  <c r="W40" i="30" s="1"/>
  <c r="T40" i="30"/>
  <c r="S40" i="30"/>
  <c r="R43" i="30"/>
  <c r="N43" i="30"/>
  <c r="O43" i="30" s="1"/>
  <c r="M43" i="30"/>
  <c r="Y39" i="30"/>
  <c r="V39" i="30"/>
  <c r="W39" i="30" s="1"/>
  <c r="T39" i="30"/>
  <c r="S39" i="30"/>
  <c r="R30" i="30"/>
  <c r="N30" i="30"/>
  <c r="O30" i="30" s="1"/>
  <c r="M30" i="30"/>
  <c r="Y38" i="30"/>
  <c r="V38" i="30"/>
  <c r="W38" i="30" s="1"/>
  <c r="T38" i="30"/>
  <c r="S38" i="30"/>
  <c r="R38" i="30"/>
  <c r="N38" i="30"/>
  <c r="O38" i="30" s="1"/>
  <c r="M38" i="30"/>
  <c r="Y37" i="30"/>
  <c r="V37" i="30"/>
  <c r="W37" i="30" s="1"/>
  <c r="T37" i="30"/>
  <c r="S37" i="30"/>
  <c r="R32" i="30"/>
  <c r="N32" i="30"/>
  <c r="O32" i="30" s="1"/>
  <c r="M32" i="30"/>
  <c r="Y36" i="30"/>
  <c r="V36" i="30"/>
  <c r="W36" i="30" s="1"/>
  <c r="T36" i="30"/>
  <c r="S36" i="30"/>
  <c r="R41" i="30"/>
  <c r="N41" i="30"/>
  <c r="O41" i="30" s="1"/>
  <c r="M41" i="30"/>
  <c r="Y35" i="30"/>
  <c r="V35" i="30"/>
  <c r="W35" i="30" s="1"/>
  <c r="T35" i="30"/>
  <c r="S35" i="30"/>
  <c r="R49" i="30"/>
  <c r="N49" i="30"/>
  <c r="O49" i="30" s="1"/>
  <c r="M49" i="30"/>
  <c r="Y34" i="30"/>
  <c r="V34" i="30"/>
  <c r="W34" i="30" s="1"/>
  <c r="T34" i="30"/>
  <c r="S34" i="30"/>
  <c r="R50" i="30"/>
  <c r="N50" i="30"/>
  <c r="O50" i="30" s="1"/>
  <c r="M50" i="30"/>
  <c r="Y33" i="30"/>
  <c r="V33" i="30"/>
  <c r="W33" i="30" s="1"/>
  <c r="T33" i="30"/>
  <c r="S33" i="30"/>
  <c r="R29" i="30"/>
  <c r="N29" i="30"/>
  <c r="O29" i="30" s="1"/>
  <c r="M29" i="30"/>
  <c r="Y32" i="30"/>
  <c r="V32" i="30"/>
  <c r="W32" i="30" s="1"/>
  <c r="T32" i="30"/>
  <c r="S32" i="30"/>
  <c r="R31" i="30"/>
  <c r="N31" i="30"/>
  <c r="O31" i="30" s="1"/>
  <c r="M31" i="30"/>
  <c r="Y31" i="30"/>
  <c r="V31" i="30"/>
  <c r="W31" i="30" s="1"/>
  <c r="T31" i="30"/>
  <c r="S31" i="30"/>
  <c r="R26" i="30"/>
  <c r="N26" i="30"/>
  <c r="O26" i="30" s="1"/>
  <c r="M26" i="30"/>
  <c r="Y30" i="30"/>
  <c r="V30" i="30"/>
  <c r="W30" i="30" s="1"/>
  <c r="T30" i="30"/>
  <c r="S30" i="30"/>
  <c r="R21" i="30"/>
  <c r="N21" i="30"/>
  <c r="O21" i="30" s="1"/>
  <c r="M21" i="30"/>
  <c r="Y29" i="30"/>
  <c r="V29" i="30"/>
  <c r="W29" i="30" s="1"/>
  <c r="T29" i="30"/>
  <c r="S29" i="30"/>
  <c r="R44" i="30"/>
  <c r="N44" i="30"/>
  <c r="O44" i="30" s="1"/>
  <c r="M44" i="30"/>
  <c r="Y28" i="30"/>
  <c r="V28" i="30"/>
  <c r="W28" i="30" s="1"/>
  <c r="T28" i="30"/>
  <c r="S28" i="30"/>
  <c r="R47" i="30"/>
  <c r="N47" i="30"/>
  <c r="O47" i="30" s="1"/>
  <c r="M47" i="30"/>
  <c r="Y27" i="30"/>
  <c r="V27" i="30"/>
  <c r="W27" i="30" s="1"/>
  <c r="T27" i="30"/>
  <c r="S27" i="30"/>
  <c r="R18" i="30"/>
  <c r="N18" i="30"/>
  <c r="O18" i="30" s="1"/>
  <c r="M18" i="30"/>
  <c r="Y26" i="30"/>
  <c r="V26" i="30"/>
  <c r="W26" i="30" s="1"/>
  <c r="T26" i="30"/>
  <c r="S26" i="30"/>
  <c r="R28" i="30"/>
  <c r="N28" i="30"/>
  <c r="O28" i="30" s="1"/>
  <c r="M28" i="30"/>
  <c r="Y25" i="30"/>
  <c r="V25" i="30"/>
  <c r="W25" i="30" s="1"/>
  <c r="T25" i="30"/>
  <c r="S25" i="30"/>
  <c r="R24" i="30"/>
  <c r="N24" i="30"/>
  <c r="O24" i="30" s="1"/>
  <c r="M24" i="30"/>
  <c r="Y24" i="30"/>
  <c r="V24" i="30"/>
  <c r="W24" i="30" s="1"/>
  <c r="T24" i="30"/>
  <c r="S24" i="30"/>
  <c r="R42" i="30"/>
  <c r="N42" i="30"/>
  <c r="O42" i="30" s="1"/>
  <c r="M42" i="30"/>
  <c r="Y23" i="30"/>
  <c r="V23" i="30"/>
  <c r="W23" i="30" s="1"/>
  <c r="T23" i="30"/>
  <c r="S23" i="30"/>
  <c r="R27" i="30"/>
  <c r="N27" i="30"/>
  <c r="O27" i="30" s="1"/>
  <c r="M27" i="30"/>
  <c r="Y22" i="30"/>
  <c r="V22" i="30"/>
  <c r="W22" i="30" s="1"/>
  <c r="T22" i="30"/>
  <c r="S22" i="30"/>
  <c r="R36" i="30"/>
  <c r="N36" i="30"/>
  <c r="O36" i="30" s="1"/>
  <c r="M36" i="30"/>
  <c r="Y21" i="30"/>
  <c r="V21" i="30"/>
  <c r="W21" i="30" s="1"/>
  <c r="T21" i="30"/>
  <c r="S21" i="30"/>
  <c r="R16" i="30"/>
  <c r="N16" i="30"/>
  <c r="O16" i="30" s="1"/>
  <c r="M16" i="30"/>
  <c r="Y20" i="30"/>
  <c r="V20" i="30"/>
  <c r="W20" i="30" s="1"/>
  <c r="T20" i="30"/>
  <c r="S20" i="30"/>
  <c r="R20" i="30"/>
  <c r="N20" i="30"/>
  <c r="O20" i="30" s="1"/>
  <c r="M20" i="30"/>
  <c r="Y19" i="30"/>
  <c r="V19" i="30"/>
  <c r="W19" i="30" s="1"/>
  <c r="T19" i="30"/>
  <c r="S19" i="30"/>
  <c r="R17" i="30"/>
  <c r="N17" i="30"/>
  <c r="O17" i="30" s="1"/>
  <c r="M17" i="30"/>
  <c r="Y18" i="30"/>
  <c r="V18" i="30"/>
  <c r="W18" i="30" s="1"/>
  <c r="T18" i="30"/>
  <c r="S18" i="30"/>
  <c r="R13" i="30"/>
  <c r="N13" i="30"/>
  <c r="O13" i="30" s="1"/>
  <c r="M13" i="30"/>
  <c r="Y17" i="30"/>
  <c r="V17" i="30"/>
  <c r="W17" i="30" s="1"/>
  <c r="T17" i="30"/>
  <c r="S17" i="30"/>
  <c r="R15" i="30"/>
  <c r="N15" i="30"/>
  <c r="O15" i="30" s="1"/>
  <c r="M15" i="30"/>
  <c r="Y16" i="30"/>
  <c r="V16" i="30"/>
  <c r="W16" i="30" s="1"/>
  <c r="T16" i="30"/>
  <c r="S16" i="30"/>
  <c r="R40" i="30"/>
  <c r="N40" i="30"/>
  <c r="O40" i="30" s="1"/>
  <c r="M40" i="30"/>
  <c r="Y15" i="30"/>
  <c r="V15" i="30"/>
  <c r="W15" i="30" s="1"/>
  <c r="T15" i="30"/>
  <c r="S15" i="30"/>
  <c r="R11" i="30"/>
  <c r="N11" i="30"/>
  <c r="O11" i="30" s="1"/>
  <c r="M11" i="30"/>
  <c r="Y14" i="30"/>
  <c r="V14" i="30"/>
  <c r="W14" i="30" s="1"/>
  <c r="T14" i="30"/>
  <c r="S14" i="30"/>
  <c r="R25" i="30"/>
  <c r="N25" i="30"/>
  <c r="O25" i="30" s="1"/>
  <c r="M25" i="30"/>
  <c r="Y13" i="30"/>
  <c r="V13" i="30"/>
  <c r="W13" i="30" s="1"/>
  <c r="T13" i="30"/>
  <c r="S13" i="30"/>
  <c r="R14" i="30"/>
  <c r="N14" i="30"/>
  <c r="O14" i="30" s="1"/>
  <c r="M14" i="30"/>
  <c r="Y12" i="30"/>
  <c r="V12" i="30"/>
  <c r="W12" i="30" s="1"/>
  <c r="T12" i="30"/>
  <c r="S12" i="30"/>
  <c r="R12" i="30"/>
  <c r="N12" i="30"/>
  <c r="O12" i="30" s="1"/>
  <c r="M12" i="30"/>
  <c r="Y11" i="30"/>
  <c r="V11" i="30"/>
  <c r="W11" i="30" s="1"/>
  <c r="T11" i="30"/>
  <c r="S11" i="30"/>
  <c r="R9" i="30"/>
  <c r="N9" i="30"/>
  <c r="O9" i="30" s="1"/>
  <c r="M9" i="30"/>
  <c r="Y10" i="30"/>
  <c r="V10" i="30"/>
  <c r="W10" i="30" s="1"/>
  <c r="T10" i="30"/>
  <c r="S10" i="30"/>
  <c r="R8" i="30"/>
  <c r="N8" i="30"/>
  <c r="O8" i="30" s="1"/>
  <c r="M8" i="30"/>
  <c r="Y9" i="30"/>
  <c r="V9" i="30"/>
  <c r="W9" i="30" s="1"/>
  <c r="T9" i="30"/>
  <c r="S9" i="30"/>
  <c r="R10" i="30"/>
  <c r="N10" i="30"/>
  <c r="M10" i="30"/>
  <c r="Y8" i="30"/>
  <c r="V8" i="30"/>
  <c r="W8" i="30" s="1"/>
  <c r="T8" i="30"/>
  <c r="S8" i="30"/>
  <c r="R6" i="30"/>
  <c r="N6" i="30"/>
  <c r="M6" i="30"/>
  <c r="Y7" i="30"/>
  <c r="V7" i="30"/>
  <c r="W7" i="30" s="1"/>
  <c r="T7" i="30"/>
  <c r="S7" i="30"/>
  <c r="R7" i="30"/>
  <c r="N7" i="30"/>
  <c r="O7" i="30" s="1"/>
  <c r="M7" i="30"/>
  <c r="Y6" i="30"/>
  <c r="V6" i="30"/>
  <c r="W6" i="30" s="1"/>
  <c r="T6" i="30"/>
  <c r="S6" i="30"/>
  <c r="R34" i="30"/>
  <c r="N34" i="30"/>
  <c r="O34" i="30" s="1"/>
  <c r="M34" i="30"/>
  <c r="Y5" i="30"/>
  <c r="V5" i="30"/>
  <c r="W5" i="30" s="1"/>
  <c r="T5" i="30"/>
  <c r="S5" i="30"/>
  <c r="R5" i="30"/>
  <c r="N5" i="30"/>
  <c r="M5" i="30"/>
  <c r="Z4" i="30" a="1"/>
  <c r="Y4" i="30"/>
  <c r="V4" i="30"/>
  <c r="W4" i="30" s="1"/>
  <c r="T4" i="30"/>
  <c r="S4" i="30"/>
  <c r="R4" i="30"/>
  <c r="N4" i="30"/>
  <c r="O4" i="30" s="1"/>
  <c r="M4" i="30"/>
  <c r="W5" i="26"/>
  <c r="W6" i="26"/>
  <c r="W7" i="26"/>
  <c r="W8" i="26"/>
  <c r="W9" i="26"/>
  <c r="W10" i="26"/>
  <c r="W11" i="26"/>
  <c r="W12" i="26"/>
  <c r="W13" i="26"/>
  <c r="W14" i="26"/>
  <c r="W15" i="26"/>
  <c r="W16" i="26"/>
  <c r="W17" i="26"/>
  <c r="W18" i="26"/>
  <c r="W19" i="26"/>
  <c r="W20" i="26"/>
  <c r="W21" i="26"/>
  <c r="W22" i="26"/>
  <c r="W23" i="26"/>
  <c r="W24" i="26"/>
  <c r="W25" i="26"/>
  <c r="W26" i="26"/>
  <c r="W27" i="26"/>
  <c r="W28" i="26"/>
  <c r="W29" i="26"/>
  <c r="W30" i="26"/>
  <c r="W31" i="26"/>
  <c r="W32" i="26"/>
  <c r="W33" i="26"/>
  <c r="W34" i="26"/>
  <c r="W35" i="26"/>
  <c r="W36" i="26"/>
  <c r="W37" i="26"/>
  <c r="W38" i="26"/>
  <c r="W39" i="26"/>
  <c r="W40" i="26"/>
  <c r="W41" i="26"/>
  <c r="W42" i="26"/>
  <c r="W43" i="26"/>
  <c r="W44" i="26"/>
  <c r="W45" i="26"/>
  <c r="W46" i="26"/>
  <c r="W47" i="26"/>
  <c r="W48" i="26"/>
  <c r="W49" i="26"/>
  <c r="W50" i="26"/>
  <c r="W51" i="26"/>
  <c r="W52" i="26"/>
  <c r="W53" i="26"/>
  <c r="W4" i="26"/>
  <c r="AA3" i="26"/>
  <c r="Z3" i="26"/>
  <c r="Y5" i="26"/>
  <c r="Y6" i="26"/>
  <c r="Y7" i="26"/>
  <c r="Y8" i="26"/>
  <c r="Y9" i="26"/>
  <c r="Y10" i="26"/>
  <c r="Y4" i="26"/>
  <c r="Y3" i="26" s="1"/>
  <c r="X4" i="26" a="1"/>
  <c r="X4" i="26"/>
  <c r="U46" i="26"/>
  <c r="U47" i="26"/>
  <c r="U48" i="26"/>
  <c r="U49" i="26"/>
  <c r="U50" i="26"/>
  <c r="U51" i="26"/>
  <c r="U52" i="26"/>
  <c r="U53" i="26"/>
  <c r="U5" i="26"/>
  <c r="U6" i="26"/>
  <c r="U7" i="26"/>
  <c r="U8" i="26"/>
  <c r="U9" i="26"/>
  <c r="U10" i="26"/>
  <c r="U11" i="26"/>
  <c r="U12" i="26"/>
  <c r="U13" i="26"/>
  <c r="U14" i="26"/>
  <c r="U15" i="26"/>
  <c r="U16" i="26"/>
  <c r="U17" i="26"/>
  <c r="U18" i="26"/>
  <c r="U19" i="26"/>
  <c r="U20" i="26"/>
  <c r="U21" i="26"/>
  <c r="U22" i="26"/>
  <c r="U23" i="26"/>
  <c r="U24" i="26"/>
  <c r="U25" i="26"/>
  <c r="U26" i="26"/>
  <c r="U27" i="26"/>
  <c r="U28" i="26"/>
  <c r="U29" i="26"/>
  <c r="U30" i="26"/>
  <c r="U31" i="26"/>
  <c r="U32" i="26"/>
  <c r="U33" i="26"/>
  <c r="U34" i="26"/>
  <c r="U35" i="26"/>
  <c r="U36" i="26"/>
  <c r="U37" i="26"/>
  <c r="U38" i="26"/>
  <c r="U39" i="26"/>
  <c r="U40" i="26"/>
  <c r="U41" i="26"/>
  <c r="U42" i="26"/>
  <c r="U43" i="26"/>
  <c r="U44" i="26"/>
  <c r="U45" i="26"/>
  <c r="U4" i="26"/>
  <c r="T46" i="26"/>
  <c r="T47" i="26"/>
  <c r="T48" i="26"/>
  <c r="T49" i="26"/>
  <c r="T50" i="26"/>
  <c r="T51" i="26"/>
  <c r="T52" i="26"/>
  <c r="T53" i="26"/>
  <c r="T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45" i="26"/>
  <c r="T4" i="26"/>
  <c r="Q4" i="26"/>
  <c r="K4" i="26"/>
  <c r="K42" i="26"/>
  <c r="P42" i="26"/>
  <c r="L42" i="26"/>
  <c r="M42" i="26"/>
  <c r="N42" i="26"/>
  <c r="O42" i="26"/>
  <c r="K40" i="26"/>
  <c r="P40" i="26"/>
  <c r="L40" i="26"/>
  <c r="M40" i="26"/>
  <c r="N40" i="26"/>
  <c r="O40" i="26"/>
  <c r="K39" i="26"/>
  <c r="P39" i="26"/>
  <c r="L39" i="26"/>
  <c r="N39" i="26" s="1"/>
  <c r="M39" i="26"/>
  <c r="K38" i="26"/>
  <c r="P38" i="26"/>
  <c r="L38" i="26"/>
  <c r="N38" i="26" s="1"/>
  <c r="O38" i="26" s="1"/>
  <c r="M38" i="26"/>
  <c r="G45" i="26"/>
  <c r="G5" i="26"/>
  <c r="G6" i="26"/>
  <c r="G7" i="26"/>
  <c r="G8" i="26"/>
  <c r="G9" i="26"/>
  <c r="G10" i="26"/>
  <c r="G11" i="26"/>
  <c r="G12" i="26"/>
  <c r="G46" i="26"/>
  <c r="G47" i="26"/>
  <c r="G48" i="26"/>
  <c r="G49" i="26"/>
  <c r="G50" i="26"/>
  <c r="G51" i="26"/>
  <c r="G52" i="26"/>
  <c r="G53" i="26"/>
  <c r="G4" i="26"/>
  <c r="P53" i="26"/>
  <c r="L53" i="26"/>
  <c r="K53" i="26"/>
  <c r="P52" i="26"/>
  <c r="L52" i="26"/>
  <c r="M52" i="26" s="1"/>
  <c r="K52" i="26"/>
  <c r="P51" i="26"/>
  <c r="L51" i="26"/>
  <c r="K51" i="26"/>
  <c r="P50" i="26"/>
  <c r="L50" i="26"/>
  <c r="K50" i="26"/>
  <c r="R45" i="26"/>
  <c r="Q45" i="26"/>
  <c r="P49" i="26"/>
  <c r="L49" i="26"/>
  <c r="M49" i="26" s="1"/>
  <c r="K49" i="26"/>
  <c r="R44" i="26"/>
  <c r="Q44" i="26"/>
  <c r="P36" i="26"/>
  <c r="L36" i="26"/>
  <c r="M36" i="26" s="1"/>
  <c r="K36" i="26"/>
  <c r="R43" i="26"/>
  <c r="Q43" i="26"/>
  <c r="P45" i="26"/>
  <c r="L45" i="26"/>
  <c r="M45" i="26" s="1"/>
  <c r="K45" i="26"/>
  <c r="R42" i="26"/>
  <c r="Q42" i="26"/>
  <c r="P44" i="26"/>
  <c r="L44" i="26"/>
  <c r="M44" i="26" s="1"/>
  <c r="K44" i="26"/>
  <c r="R41" i="26"/>
  <c r="Q41" i="26"/>
  <c r="P34" i="26"/>
  <c r="L34" i="26"/>
  <c r="M34" i="26" s="1"/>
  <c r="K34" i="26"/>
  <c r="R40" i="26"/>
  <c r="Q40" i="26"/>
  <c r="P28" i="26"/>
  <c r="L28" i="26"/>
  <c r="M28" i="26" s="1"/>
  <c r="K28" i="26"/>
  <c r="R39" i="26"/>
  <c r="Q39" i="26"/>
  <c r="P37" i="26"/>
  <c r="L37" i="26"/>
  <c r="K37" i="26"/>
  <c r="R38" i="26"/>
  <c r="Q38" i="26"/>
  <c r="P22" i="26"/>
  <c r="L22" i="26"/>
  <c r="K22" i="26"/>
  <c r="R37" i="26"/>
  <c r="Q37" i="26"/>
  <c r="P35" i="26"/>
  <c r="L35" i="26"/>
  <c r="M35" i="26" s="1"/>
  <c r="N35" i="26" s="1"/>
  <c r="O35" i="26" s="1"/>
  <c r="K35" i="26"/>
  <c r="R36" i="26"/>
  <c r="Q36" i="26"/>
  <c r="P48" i="26"/>
  <c r="L48" i="26"/>
  <c r="K48" i="26"/>
  <c r="R35" i="26"/>
  <c r="Q35" i="26"/>
  <c r="P43" i="26"/>
  <c r="L43" i="26"/>
  <c r="M43" i="26" s="1"/>
  <c r="K43" i="26"/>
  <c r="R34" i="26"/>
  <c r="Q34" i="26"/>
  <c r="P47" i="26"/>
  <c r="L47" i="26"/>
  <c r="M47" i="26" s="1"/>
  <c r="K47" i="26"/>
  <c r="R33" i="26"/>
  <c r="Q33" i="26"/>
  <c r="P30" i="26"/>
  <c r="L30" i="26"/>
  <c r="M30" i="26" s="1"/>
  <c r="K30" i="26"/>
  <c r="R32" i="26"/>
  <c r="Q32" i="26"/>
  <c r="P29" i="26"/>
  <c r="L29" i="26"/>
  <c r="M29" i="26" s="1"/>
  <c r="K29" i="26"/>
  <c r="R31" i="26"/>
  <c r="Q31" i="26"/>
  <c r="P33" i="26"/>
  <c r="L33" i="26"/>
  <c r="K33" i="26"/>
  <c r="R30" i="26"/>
  <c r="Q30" i="26"/>
  <c r="P24" i="26"/>
  <c r="L24" i="26"/>
  <c r="K24" i="26"/>
  <c r="R29" i="26"/>
  <c r="Q29" i="26"/>
  <c r="P41" i="26"/>
  <c r="M41" i="26"/>
  <c r="N41" i="26" s="1"/>
  <c r="O41" i="26" s="1"/>
  <c r="L41" i="26"/>
  <c r="K41" i="26"/>
  <c r="R28" i="26"/>
  <c r="Q28" i="26"/>
  <c r="P20" i="26"/>
  <c r="M20" i="26"/>
  <c r="L20" i="26"/>
  <c r="K20" i="26"/>
  <c r="R27" i="26"/>
  <c r="Q27" i="26"/>
  <c r="P27" i="26"/>
  <c r="M27" i="26"/>
  <c r="L27" i="26"/>
  <c r="K27" i="26"/>
  <c r="R26" i="26"/>
  <c r="Q26" i="26"/>
  <c r="P46" i="26"/>
  <c r="L46" i="26"/>
  <c r="M46" i="26" s="1"/>
  <c r="K46" i="26"/>
  <c r="R25" i="26"/>
  <c r="Q25" i="26"/>
  <c r="P32" i="26"/>
  <c r="L32" i="26"/>
  <c r="M32" i="26" s="1"/>
  <c r="K32" i="26"/>
  <c r="R24" i="26"/>
  <c r="Q24" i="26"/>
  <c r="P26" i="26"/>
  <c r="L26" i="26"/>
  <c r="M26" i="26" s="1"/>
  <c r="K26" i="26"/>
  <c r="R23" i="26"/>
  <c r="Q23" i="26"/>
  <c r="P16" i="26"/>
  <c r="L16" i="26"/>
  <c r="K16" i="26"/>
  <c r="R22" i="26"/>
  <c r="Q22" i="26"/>
  <c r="P18" i="26"/>
  <c r="L18" i="26"/>
  <c r="M18" i="26" s="1"/>
  <c r="K18" i="26"/>
  <c r="R21" i="26"/>
  <c r="Q21" i="26"/>
  <c r="P31" i="26"/>
  <c r="L31" i="26"/>
  <c r="M31" i="26" s="1"/>
  <c r="K31" i="26"/>
  <c r="R20" i="26"/>
  <c r="Q20" i="26"/>
  <c r="P23" i="26"/>
  <c r="L23" i="26"/>
  <c r="M23" i="26" s="1"/>
  <c r="K23" i="26"/>
  <c r="R19" i="26"/>
  <c r="Q19" i="26"/>
  <c r="P15" i="26"/>
  <c r="L15" i="26"/>
  <c r="K15" i="26"/>
  <c r="R18" i="26"/>
  <c r="Q18" i="26"/>
  <c r="P21" i="26"/>
  <c r="L21" i="26"/>
  <c r="M21" i="26" s="1"/>
  <c r="K21" i="26"/>
  <c r="R17" i="26"/>
  <c r="Q17" i="26"/>
  <c r="P14" i="26"/>
  <c r="L14" i="26"/>
  <c r="K14" i="26"/>
  <c r="R16" i="26"/>
  <c r="Q16" i="26"/>
  <c r="P17" i="26"/>
  <c r="L17" i="26"/>
  <c r="M17" i="26" s="1"/>
  <c r="K17" i="26"/>
  <c r="R15" i="26"/>
  <c r="Q15" i="26"/>
  <c r="P12" i="26"/>
  <c r="L12" i="26"/>
  <c r="K12" i="26"/>
  <c r="R14" i="26"/>
  <c r="Q14" i="26"/>
  <c r="P11" i="26"/>
  <c r="L11" i="26"/>
  <c r="M11" i="26" s="1"/>
  <c r="K11" i="26"/>
  <c r="R13" i="26"/>
  <c r="Q13" i="26"/>
  <c r="P10" i="26"/>
  <c r="L10" i="26"/>
  <c r="M10" i="26" s="1"/>
  <c r="K10" i="26"/>
  <c r="R12" i="26"/>
  <c r="Q12" i="26"/>
  <c r="P19" i="26"/>
  <c r="L19" i="26"/>
  <c r="M19" i="26" s="1"/>
  <c r="K19" i="26"/>
  <c r="R11" i="26"/>
  <c r="Q11" i="26"/>
  <c r="P9" i="26"/>
  <c r="L9" i="26"/>
  <c r="K9" i="26"/>
  <c r="R10" i="26"/>
  <c r="Q10" i="26"/>
  <c r="P8" i="26"/>
  <c r="L8" i="26"/>
  <c r="M8" i="26" s="1"/>
  <c r="K8" i="26"/>
  <c r="R9" i="26"/>
  <c r="Q9" i="26"/>
  <c r="P25" i="26"/>
  <c r="L25" i="26"/>
  <c r="M25" i="26" s="1"/>
  <c r="K25" i="26"/>
  <c r="R8" i="26"/>
  <c r="Q8" i="26"/>
  <c r="P7" i="26"/>
  <c r="L7" i="26"/>
  <c r="M7" i="26" s="1"/>
  <c r="K7" i="26"/>
  <c r="R7" i="26"/>
  <c r="Q7" i="26"/>
  <c r="P6" i="26"/>
  <c r="L6" i="26"/>
  <c r="K6" i="26"/>
  <c r="R6" i="26"/>
  <c r="Q6" i="26"/>
  <c r="P13" i="26"/>
  <c r="L13" i="26"/>
  <c r="M13" i="26" s="1"/>
  <c r="K13" i="26"/>
  <c r="R5" i="26"/>
  <c r="Q5" i="26"/>
  <c r="P5" i="26"/>
  <c r="L5" i="26"/>
  <c r="K5" i="26"/>
  <c r="R4" i="26"/>
  <c r="R2" i="26" s="1"/>
  <c r="P4" i="26"/>
  <c r="L4" i="26"/>
  <c r="M4" i="26" s="1"/>
  <c r="W3" i="17"/>
  <c r="W5" i="17"/>
  <c r="W6" i="17"/>
  <c r="W7" i="17"/>
  <c r="W8" i="17"/>
  <c r="W9" i="17"/>
  <c r="W10" i="17"/>
  <c r="W11" i="17"/>
  <c r="W12" i="17"/>
  <c r="W13" i="17"/>
  <c r="W14" i="17"/>
  <c r="W15" i="17"/>
  <c r="W16" i="17"/>
  <c r="W17" i="17"/>
  <c r="W18" i="17"/>
  <c r="W19" i="17"/>
  <c r="W20" i="17"/>
  <c r="W21" i="17"/>
  <c r="W22" i="17"/>
  <c r="W23" i="17"/>
  <c r="W4" i="17"/>
  <c r="V4" i="17" a="1"/>
  <c r="V4" i="17" s="1"/>
  <c r="T5" i="17"/>
  <c r="T6" i="17"/>
  <c r="T7" i="17"/>
  <c r="T8" i="17"/>
  <c r="T9" i="17"/>
  <c r="T10" i="17"/>
  <c r="T11" i="17"/>
  <c r="T12" i="17"/>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 i="17"/>
  <c r="S5" i="17"/>
  <c r="S6" i="17"/>
  <c r="S7" i="17"/>
  <c r="S8" i="17"/>
  <c r="S9" i="17"/>
  <c r="S10" i="17"/>
  <c r="S11" i="17"/>
  <c r="S12" i="17"/>
  <c r="S13" i="17"/>
  <c r="S14"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 i="17"/>
  <c r="J45" i="17"/>
  <c r="O45" i="17"/>
  <c r="K45" i="17"/>
  <c r="L45" i="17" s="1"/>
  <c r="F49" i="17"/>
  <c r="F48" i="17"/>
  <c r="F47" i="17"/>
  <c r="F46" i="17"/>
  <c r="F13" i="17"/>
  <c r="F12" i="17"/>
  <c r="F9" i="17"/>
  <c r="F11" i="17"/>
  <c r="F10" i="17"/>
  <c r="F8" i="17"/>
  <c r="F7" i="17"/>
  <c r="F6" i="17"/>
  <c r="F5" i="17"/>
  <c r="Q19" i="35" l="1"/>
  <c r="R19" i="35" s="1"/>
  <c r="V39" i="35"/>
  <c r="T2" i="35"/>
  <c r="V7" i="35"/>
  <c r="V10" i="35"/>
  <c r="Q15" i="35"/>
  <c r="V17" i="35"/>
  <c r="P37" i="35"/>
  <c r="R15" i="35"/>
  <c r="V27" i="35"/>
  <c r="V30" i="35"/>
  <c r="R46" i="35"/>
  <c r="V37" i="35"/>
  <c r="V40" i="35"/>
  <c r="V44" i="35"/>
  <c r="V6" i="35"/>
  <c r="R10" i="35"/>
  <c r="V13" i="35"/>
  <c r="V16" i="35"/>
  <c r="V20" i="35"/>
  <c r="V23" i="35"/>
  <c r="V26" i="35"/>
  <c r="Q35" i="35"/>
  <c r="Q31" i="35"/>
  <c r="R31" i="35" s="1"/>
  <c r="V33" i="35"/>
  <c r="V29" i="35"/>
  <c r="V36" i="35"/>
  <c r="V4" i="35"/>
  <c r="V5" i="35"/>
  <c r="V8" i="35"/>
  <c r="V12" i="35"/>
  <c r="V15" i="35"/>
  <c r="V18" i="35"/>
  <c r="Q34" i="35"/>
  <c r="R34" i="35" s="1"/>
  <c r="V25" i="35"/>
  <c r="P47" i="35"/>
  <c r="Q47" i="35" s="1"/>
  <c r="R47" i="35" s="1"/>
  <c r="V43" i="35"/>
  <c r="P29" i="35"/>
  <c r="Q29" i="35" s="1"/>
  <c r="V22" i="35"/>
  <c r="V32" i="35"/>
  <c r="P16" i="35"/>
  <c r="P34" i="35"/>
  <c r="V35" i="35"/>
  <c r="V38" i="35"/>
  <c r="P32" i="35"/>
  <c r="V45" i="35"/>
  <c r="V19" i="35"/>
  <c r="P8" i="35"/>
  <c r="Q8" i="35" s="1"/>
  <c r="V11" i="35"/>
  <c r="V14" i="35"/>
  <c r="V21" i="35"/>
  <c r="V24" i="35"/>
  <c r="V28" i="35"/>
  <c r="V31" i="35"/>
  <c r="V34" i="35"/>
  <c r="Q41" i="35"/>
  <c r="R41" i="35" s="1"/>
  <c r="Q45" i="35"/>
  <c r="R45" i="35" s="1"/>
  <c r="V41" i="35"/>
  <c r="Q27" i="35"/>
  <c r="R27" i="35" s="1"/>
  <c r="Q38" i="35"/>
  <c r="R38" i="35" s="1"/>
  <c r="Q7" i="35"/>
  <c r="R7" i="35" s="1"/>
  <c r="Q54" i="35"/>
  <c r="R54" i="35" s="1"/>
  <c r="R21" i="35"/>
  <c r="Q21" i="35"/>
  <c r="Q50" i="35"/>
  <c r="R50" i="35" s="1"/>
  <c r="Q56" i="35"/>
  <c r="R56" i="35" s="1"/>
  <c r="Q12" i="35"/>
  <c r="R12" i="35" s="1"/>
  <c r="Q25" i="35"/>
  <c r="R25" i="35" s="1"/>
  <c r="R35" i="35"/>
  <c r="Q43" i="35"/>
  <c r="Q20" i="35"/>
  <c r="R20" i="35" s="1"/>
  <c r="Q22" i="35"/>
  <c r="Q44" i="35"/>
  <c r="R44" i="35" s="1"/>
  <c r="Q57" i="35"/>
  <c r="R57" i="35" s="1"/>
  <c r="Q5" i="35"/>
  <c r="R5" i="35" s="1"/>
  <c r="Q33" i="35"/>
  <c r="R33" i="35" s="1"/>
  <c r="Q53" i="35"/>
  <c r="R53" i="35" s="1"/>
  <c r="P9" i="35"/>
  <c r="Q9" i="35" s="1"/>
  <c r="P13" i="35"/>
  <c r="Q13" i="35" s="1"/>
  <c r="Q26" i="35"/>
  <c r="R26" i="35" s="1"/>
  <c r="P18" i="35"/>
  <c r="Q18" i="35" s="1"/>
  <c r="Q28" i="35"/>
  <c r="R28" i="35" s="1"/>
  <c r="P43" i="35"/>
  <c r="Q24" i="35"/>
  <c r="R24" i="35" s="1"/>
  <c r="P36" i="35"/>
  <c r="Q36" i="35" s="1"/>
  <c r="V42" i="35"/>
  <c r="P4" i="35"/>
  <c r="Q4" i="35" s="1"/>
  <c r="P11" i="35"/>
  <c r="P23" i="35"/>
  <c r="P14" i="35"/>
  <c r="Q14" i="35" s="1"/>
  <c r="P39" i="35"/>
  <c r="Q39" i="35" s="1"/>
  <c r="P40" i="35"/>
  <c r="P49" i="35"/>
  <c r="P52" i="35"/>
  <c r="P42" i="35"/>
  <c r="Q42" i="35" s="1"/>
  <c r="Z4" i="35"/>
  <c r="P30" i="35"/>
  <c r="P48" i="35"/>
  <c r="Q48" i="35" s="1"/>
  <c r="P51" i="35"/>
  <c r="Q51" i="35" s="1"/>
  <c r="P55" i="35"/>
  <c r="P58" i="35"/>
  <c r="Q58" i="32"/>
  <c r="O16" i="32"/>
  <c r="P16" i="32" s="1"/>
  <c r="Q16" i="32" s="1"/>
  <c r="U8" i="32"/>
  <c r="U34" i="32"/>
  <c r="U23" i="32"/>
  <c r="O24" i="32"/>
  <c r="P24" i="32" s="1"/>
  <c r="Q24" i="32" s="1"/>
  <c r="U7" i="32"/>
  <c r="U12" i="32"/>
  <c r="U18" i="32"/>
  <c r="U28" i="32"/>
  <c r="U6" i="32"/>
  <c r="U16" i="32"/>
  <c r="U17" i="32"/>
  <c r="U22" i="32"/>
  <c r="U32" i="32"/>
  <c r="U42" i="32"/>
  <c r="U11" i="32"/>
  <c r="U21" i="32"/>
  <c r="U27" i="32"/>
  <c r="U36" i="32"/>
  <c r="U41" i="32"/>
  <c r="U5" i="32"/>
  <c r="U10" i="32"/>
  <c r="U15" i="32"/>
  <c r="U31" i="32"/>
  <c r="U38" i="32"/>
  <c r="U19" i="32"/>
  <c r="U33" i="32"/>
  <c r="U39" i="32"/>
  <c r="U20" i="32"/>
  <c r="U26" i="32"/>
  <c r="U35" i="32"/>
  <c r="U40" i="32"/>
  <c r="U13" i="32"/>
  <c r="U29" i="32"/>
  <c r="U43" i="32"/>
  <c r="U9" i="32"/>
  <c r="U14" i="32"/>
  <c r="U24" i="32"/>
  <c r="U25" i="32"/>
  <c r="U30" i="32"/>
  <c r="U44" i="32"/>
  <c r="P37" i="32"/>
  <c r="Q37" i="32" s="1"/>
  <c r="P39" i="32"/>
  <c r="Q39" i="32" s="1"/>
  <c r="T2" i="32"/>
  <c r="S2" i="32"/>
  <c r="P45" i="32"/>
  <c r="Q45" i="32" s="1"/>
  <c r="P32" i="32"/>
  <c r="Q32" i="32" s="1"/>
  <c r="P36" i="32"/>
  <c r="Q36" i="32" s="1"/>
  <c r="P12" i="32"/>
  <c r="Q12" i="32" s="1"/>
  <c r="P7" i="32"/>
  <c r="Q7" i="32" s="1"/>
  <c r="P40" i="32"/>
  <c r="Q40" i="32" s="1"/>
  <c r="P23" i="32"/>
  <c r="P48" i="32"/>
  <c r="Q48" i="32" s="1"/>
  <c r="P52" i="32"/>
  <c r="Q52" i="32" s="1"/>
  <c r="P28" i="32"/>
  <c r="Q28" i="32" s="1"/>
  <c r="P44" i="32"/>
  <c r="Q44" i="32" s="1"/>
  <c r="P11" i="32"/>
  <c r="Q11" i="32" s="1"/>
  <c r="Q21" i="32"/>
  <c r="P20" i="32"/>
  <c r="Q20" i="32" s="1"/>
  <c r="P38" i="32"/>
  <c r="Q38" i="32" s="1"/>
  <c r="P6" i="32"/>
  <c r="Q6" i="32" s="1"/>
  <c r="P10" i="32"/>
  <c r="Q10" i="32" s="1"/>
  <c r="O18" i="32"/>
  <c r="P18" i="32" s="1"/>
  <c r="P21" i="32"/>
  <c r="P29" i="32"/>
  <c r="Q29" i="32" s="1"/>
  <c r="O49" i="32"/>
  <c r="P49" i="32" s="1"/>
  <c r="O53" i="32"/>
  <c r="U37" i="32"/>
  <c r="P13" i="32"/>
  <c r="Q13" i="32" s="1"/>
  <c r="O26" i="32"/>
  <c r="O34" i="32"/>
  <c r="P34" i="32" s="1"/>
  <c r="O4" i="32"/>
  <c r="P4" i="32" s="1"/>
  <c r="O5" i="32"/>
  <c r="P5" i="32" s="1"/>
  <c r="O9" i="32"/>
  <c r="P9" i="32" s="1"/>
  <c r="O15" i="32"/>
  <c r="P15" i="32" s="1"/>
  <c r="O23" i="32"/>
  <c r="O31" i="32"/>
  <c r="P31" i="32" s="1"/>
  <c r="Q41" i="32"/>
  <c r="O43" i="32"/>
  <c r="P43" i="32" s="1"/>
  <c r="U4" i="32"/>
  <c r="O46" i="32"/>
  <c r="O50" i="32"/>
  <c r="O54" i="32"/>
  <c r="O55" i="32"/>
  <c r="P55" i="32" s="1"/>
  <c r="O56" i="32"/>
  <c r="P56" i="32" s="1"/>
  <c r="O57" i="32"/>
  <c r="P57" i="32" s="1"/>
  <c r="U45" i="32"/>
  <c r="P8" i="32"/>
  <c r="Q8" i="32" s="1"/>
  <c r="O14" i="32"/>
  <c r="P17" i="32"/>
  <c r="Q17" i="32" s="1"/>
  <c r="O22" i="32"/>
  <c r="P25" i="32"/>
  <c r="Q25" i="32" s="1"/>
  <c r="O30" i="32"/>
  <c r="P30" i="32" s="1"/>
  <c r="P33" i="32"/>
  <c r="Q33" i="32" s="1"/>
  <c r="O42" i="32"/>
  <c r="P42" i="32" s="1"/>
  <c r="O47" i="32"/>
  <c r="O51" i="32"/>
  <c r="O19" i="32"/>
  <c r="P19" i="32" s="1"/>
  <c r="O27" i="32"/>
  <c r="P27" i="32" s="1"/>
  <c r="O35" i="32"/>
  <c r="P35" i="32" s="1"/>
  <c r="P4" i="30"/>
  <c r="P19" i="30"/>
  <c r="Q19" i="30" s="1"/>
  <c r="AA5" i="30"/>
  <c r="U4" i="30"/>
  <c r="AA8" i="30"/>
  <c r="U7" i="30"/>
  <c r="U9" i="30"/>
  <c r="O52" i="30"/>
  <c r="P52" i="30" s="1"/>
  <c r="Q52" i="30" s="1"/>
  <c r="U5" i="30"/>
  <c r="P8" i="30"/>
  <c r="Q8" i="30" s="1"/>
  <c r="P56" i="30"/>
  <c r="Q56" i="30" s="1"/>
  <c r="T2" i="30"/>
  <c r="U35" i="30"/>
  <c r="U43" i="30"/>
  <c r="U6" i="30"/>
  <c r="U8" i="30"/>
  <c r="U12" i="30"/>
  <c r="P13" i="30"/>
  <c r="Q13" i="30" s="1"/>
  <c r="U20" i="30"/>
  <c r="P28" i="30"/>
  <c r="Q28" i="30" s="1"/>
  <c r="U28" i="30"/>
  <c r="P50" i="30"/>
  <c r="Q50" i="30" s="1"/>
  <c r="U36" i="30"/>
  <c r="P22" i="30"/>
  <c r="Q22" i="30" s="1"/>
  <c r="U44" i="30"/>
  <c r="U27" i="30"/>
  <c r="S2" i="30"/>
  <c r="P34" i="30"/>
  <c r="Q34" i="30" s="1"/>
  <c r="P7" i="30"/>
  <c r="Q7" i="30" s="1"/>
  <c r="U13" i="30"/>
  <c r="U21" i="30"/>
  <c r="U29" i="30"/>
  <c r="U37" i="30"/>
  <c r="U45" i="30"/>
  <c r="U10" i="30"/>
  <c r="P12" i="30"/>
  <c r="Q12" i="30" s="1"/>
  <c r="U14" i="30"/>
  <c r="P20" i="30"/>
  <c r="Q20" i="30" s="1"/>
  <c r="U22" i="30"/>
  <c r="P47" i="30"/>
  <c r="Q47" i="30" s="1"/>
  <c r="U30" i="30"/>
  <c r="P41" i="30"/>
  <c r="Q41" i="30" s="1"/>
  <c r="U38" i="30"/>
  <c r="P33" i="30"/>
  <c r="Q33" i="30" s="1"/>
  <c r="U15" i="30"/>
  <c r="U23" i="30"/>
  <c r="U31" i="30"/>
  <c r="U39" i="30"/>
  <c r="U11" i="30"/>
  <c r="U19" i="30"/>
  <c r="P25" i="30"/>
  <c r="Q25" i="30" s="1"/>
  <c r="U16" i="30"/>
  <c r="P36" i="30"/>
  <c r="Q36" i="30" s="1"/>
  <c r="U24" i="30"/>
  <c r="P21" i="30"/>
  <c r="Q21" i="30" s="1"/>
  <c r="U32" i="30"/>
  <c r="P38" i="30"/>
  <c r="Q38" i="30" s="1"/>
  <c r="U40" i="30"/>
  <c r="U17" i="30"/>
  <c r="U25" i="30"/>
  <c r="U33" i="30"/>
  <c r="U41" i="30"/>
  <c r="P53" i="30"/>
  <c r="Q53" i="30" s="1"/>
  <c r="Q4" i="30"/>
  <c r="P40" i="30"/>
  <c r="Q40" i="30" s="1"/>
  <c r="U18" i="30"/>
  <c r="P42" i="30"/>
  <c r="Q42" i="30" s="1"/>
  <c r="U26" i="30"/>
  <c r="P31" i="30"/>
  <c r="Q31" i="30" s="1"/>
  <c r="U34" i="30"/>
  <c r="P43" i="30"/>
  <c r="Q43" i="30" s="1"/>
  <c r="U42" i="30"/>
  <c r="AA10" i="30"/>
  <c r="P46" i="30"/>
  <c r="Q46" i="30" s="1"/>
  <c r="Z4" i="30"/>
  <c r="AA4" i="30" s="1"/>
  <c r="AA7" i="30"/>
  <c r="O10" i="30"/>
  <c r="P10" i="30" s="1"/>
  <c r="P51" i="30"/>
  <c r="Q51" i="30" s="1"/>
  <c r="AA9" i="30"/>
  <c r="AA6" i="30"/>
  <c r="O6" i="30"/>
  <c r="P9" i="30"/>
  <c r="Q9" i="30" s="1"/>
  <c r="P14" i="30"/>
  <c r="Q14" i="30" s="1"/>
  <c r="P11" i="30"/>
  <c r="Q11" i="30" s="1"/>
  <c r="P15" i="30"/>
  <c r="Q15" i="30" s="1"/>
  <c r="P17" i="30"/>
  <c r="Q17" i="30" s="1"/>
  <c r="P16" i="30"/>
  <c r="Q16" i="30" s="1"/>
  <c r="P27" i="30"/>
  <c r="Q27" i="30" s="1"/>
  <c r="P24" i="30"/>
  <c r="Q24" i="30" s="1"/>
  <c r="P18" i="30"/>
  <c r="Q18" i="30" s="1"/>
  <c r="P44" i="30"/>
  <c r="Q44" i="30" s="1"/>
  <c r="P26" i="30"/>
  <c r="Q26" i="30" s="1"/>
  <c r="P29" i="30"/>
  <c r="Q29" i="30" s="1"/>
  <c r="P49" i="30"/>
  <c r="Q49" i="30" s="1"/>
  <c r="P32" i="30"/>
  <c r="Q32" i="30" s="1"/>
  <c r="P30" i="30"/>
  <c r="Q30" i="30" s="1"/>
  <c r="P23" i="30"/>
  <c r="Q23" i="30" s="1"/>
  <c r="P35" i="30"/>
  <c r="Q35" i="30" s="1"/>
  <c r="P48" i="30"/>
  <c r="Q48" i="30" s="1"/>
  <c r="P54" i="30"/>
  <c r="Q54" i="30" s="1"/>
  <c r="O5" i="30"/>
  <c r="P55" i="30"/>
  <c r="Q55" i="30" s="1"/>
  <c r="O57" i="30"/>
  <c r="P57" i="30" s="1"/>
  <c r="O39" i="26"/>
  <c r="S8" i="26"/>
  <c r="S12" i="26"/>
  <c r="S20" i="26"/>
  <c r="S4" i="26"/>
  <c r="N10" i="26"/>
  <c r="N31" i="26"/>
  <c r="O31" i="26" s="1"/>
  <c r="N20" i="26"/>
  <c r="O20" i="26" s="1"/>
  <c r="N52" i="26"/>
  <c r="O10" i="26"/>
  <c r="S19" i="26"/>
  <c r="Q2" i="26"/>
  <c r="S7" i="26"/>
  <c r="S11" i="26"/>
  <c r="S18" i="26"/>
  <c r="M15" i="26"/>
  <c r="N15" i="26" s="1"/>
  <c r="S25" i="26"/>
  <c r="S32" i="26"/>
  <c r="S39" i="26"/>
  <c r="S43" i="26"/>
  <c r="S44" i="26"/>
  <c r="S45" i="26"/>
  <c r="N36" i="26"/>
  <c r="O36" i="26" s="1"/>
  <c r="N49" i="26"/>
  <c r="O49" i="26" s="1"/>
  <c r="S26" i="26"/>
  <c r="S33" i="26"/>
  <c r="S40" i="26"/>
  <c r="S6" i="26"/>
  <c r="S10" i="26"/>
  <c r="S15" i="26"/>
  <c r="S16" i="26"/>
  <c r="M14" i="26"/>
  <c r="N14" i="26" s="1"/>
  <c r="O14" i="26" s="1"/>
  <c r="S23" i="26"/>
  <c r="S24" i="26"/>
  <c r="S31" i="26"/>
  <c r="S35" i="26"/>
  <c r="S36" i="26"/>
  <c r="S37" i="26"/>
  <c r="S38" i="26"/>
  <c r="S42" i="26"/>
  <c r="S21" i="26"/>
  <c r="S13" i="26"/>
  <c r="S14" i="26"/>
  <c r="M12" i="26"/>
  <c r="S22" i="26"/>
  <c r="M16" i="26"/>
  <c r="N16" i="26" s="1"/>
  <c r="S27" i="26"/>
  <c r="S28" i="26"/>
  <c r="S29" i="26"/>
  <c r="S30" i="26"/>
  <c r="S34" i="26"/>
  <c r="M48" i="26"/>
  <c r="S41" i="26"/>
  <c r="N21" i="26"/>
  <c r="O21" i="26" s="1"/>
  <c r="N29" i="26"/>
  <c r="O29" i="26"/>
  <c r="N13" i="26"/>
  <c r="O13" i="26" s="1"/>
  <c r="N8" i="26"/>
  <c r="O8" i="26" s="1"/>
  <c r="N17" i="26"/>
  <c r="O17" i="26" s="1"/>
  <c r="N26" i="26"/>
  <c r="O26" i="26" s="1"/>
  <c r="N44" i="26"/>
  <c r="O44" i="26" s="1"/>
  <c r="N11" i="26"/>
  <c r="O11" i="26" s="1"/>
  <c r="N18" i="26"/>
  <c r="O18" i="26" s="1"/>
  <c r="N47" i="26"/>
  <c r="O47" i="26" s="1"/>
  <c r="O52" i="26"/>
  <c r="N4" i="26"/>
  <c r="O4" i="26" s="1"/>
  <c r="N7" i="26"/>
  <c r="O7" i="26" s="1"/>
  <c r="N19" i="26"/>
  <c r="O19" i="26" s="1"/>
  <c r="N23" i="26"/>
  <c r="O23" i="26" s="1"/>
  <c r="N46" i="26"/>
  <c r="O46" i="26" s="1"/>
  <c r="N28" i="26"/>
  <c r="O28" i="26" s="1"/>
  <c r="S9" i="26"/>
  <c r="M22" i="26"/>
  <c r="N22" i="26" s="1"/>
  <c r="M6" i="26"/>
  <c r="N34" i="26"/>
  <c r="O34" i="26" s="1"/>
  <c r="N25" i="26"/>
  <c r="O25" i="26" s="1"/>
  <c r="M33" i="26"/>
  <c r="N33" i="26" s="1"/>
  <c r="M37" i="26"/>
  <c r="N37" i="26" s="1"/>
  <c r="S17" i="26"/>
  <c r="N27" i="26"/>
  <c r="O27" i="26" s="1"/>
  <c r="M5" i="26"/>
  <c r="N5" i="26" s="1"/>
  <c r="M9" i="26"/>
  <c r="N9" i="26" s="1"/>
  <c r="N32" i="26"/>
  <c r="O32" i="26" s="1"/>
  <c r="N30" i="26"/>
  <c r="O30" i="26" s="1"/>
  <c r="M51" i="26"/>
  <c r="N51" i="26" s="1"/>
  <c r="S5" i="26"/>
  <c r="M24" i="26"/>
  <c r="N43" i="26"/>
  <c r="O43" i="26" s="1"/>
  <c r="M50" i="26"/>
  <c r="N50" i="26" s="1"/>
  <c r="M53" i="26"/>
  <c r="N45" i="26"/>
  <c r="O45" i="26" s="1"/>
  <c r="M45" i="17"/>
  <c r="N45" i="17" s="1"/>
  <c r="AC4" i="35" l="1"/>
  <c r="R22" i="35"/>
  <c r="R8" i="35"/>
  <c r="Q16" i="35"/>
  <c r="R16" i="35" s="1"/>
  <c r="AD4" i="35" s="1"/>
  <c r="R32" i="35"/>
  <c r="R29" i="35"/>
  <c r="R37" i="35"/>
  <c r="Q32" i="35"/>
  <c r="V2" i="35"/>
  <c r="AB4" i="35"/>
  <c r="Q37" i="35"/>
  <c r="R18" i="35"/>
  <c r="R4" i="35"/>
  <c r="R30" i="35"/>
  <c r="Q52" i="35"/>
  <c r="R52" i="35" s="1"/>
  <c r="R9" i="35"/>
  <c r="Q49" i="35"/>
  <c r="R49" i="35" s="1"/>
  <c r="Q11" i="35"/>
  <c r="R11" i="35" s="1"/>
  <c r="R42" i="35"/>
  <c r="R36" i="35"/>
  <c r="R51" i="35"/>
  <c r="R39" i="35"/>
  <c r="R43" i="35"/>
  <c r="Q30" i="35"/>
  <c r="Q40" i="35"/>
  <c r="R40" i="35" s="1"/>
  <c r="R13" i="35"/>
  <c r="R48" i="35"/>
  <c r="R14" i="35"/>
  <c r="Q55" i="35"/>
  <c r="R55" i="35" s="1"/>
  <c r="Q23" i="35"/>
  <c r="R23" i="35" s="1"/>
  <c r="Q58" i="35"/>
  <c r="R58" i="35" s="1"/>
  <c r="U2" i="32"/>
  <c r="P54" i="32"/>
  <c r="Q54" i="32" s="1"/>
  <c r="P26" i="32"/>
  <c r="Q26" i="32" s="1"/>
  <c r="Q51" i="32"/>
  <c r="Q23" i="32"/>
  <c r="P51" i="32"/>
  <c r="Q34" i="32"/>
  <c r="Q31" i="32"/>
  <c r="Q15" i="32"/>
  <c r="P46" i="32"/>
  <c r="Q46" i="32" s="1"/>
  <c r="P50" i="32"/>
  <c r="Q50" i="32" s="1"/>
  <c r="Q49" i="32"/>
  <c r="P47" i="32"/>
  <c r="Q47" i="32" s="1"/>
  <c r="Q55" i="32"/>
  <c r="Q18" i="32"/>
  <c r="Q35" i="32"/>
  <c r="Q5" i="32"/>
  <c r="P14" i="32"/>
  <c r="Q14" i="32" s="1"/>
  <c r="Q42" i="32"/>
  <c r="Q9" i="32"/>
  <c r="Q27" i="32"/>
  <c r="Q30" i="32"/>
  <c r="Q57" i="32"/>
  <c r="Q19" i="32"/>
  <c r="Q56" i="32"/>
  <c r="Q43" i="32"/>
  <c r="Q4" i="32"/>
  <c r="P22" i="32"/>
  <c r="Q22" i="32" s="1"/>
  <c r="P53" i="32"/>
  <c r="Q53" i="32" s="1"/>
  <c r="AA3" i="30"/>
  <c r="AB3" i="30" s="1"/>
  <c r="AC3" i="30" s="1"/>
  <c r="U2" i="30"/>
  <c r="P6" i="30"/>
  <c r="Q6" i="30" s="1"/>
  <c r="Q57" i="30"/>
  <c r="Q10" i="30"/>
  <c r="P5" i="30"/>
  <c r="Q5" i="30" s="1"/>
  <c r="S2" i="26"/>
  <c r="O15" i="26"/>
  <c r="N48" i="26"/>
  <c r="O48" i="26" s="1"/>
  <c r="O16" i="26"/>
  <c r="N12" i="26"/>
  <c r="O12" i="26" s="1"/>
  <c r="N24" i="26"/>
  <c r="O24" i="26" s="1"/>
  <c r="O50" i="26"/>
  <c r="O37" i="26"/>
  <c r="O33" i="26"/>
  <c r="O51" i="26"/>
  <c r="O9" i="26"/>
  <c r="O5" i="26"/>
  <c r="O22" i="26"/>
  <c r="N6" i="26"/>
  <c r="O6" i="26" s="1"/>
  <c r="N53" i="26"/>
  <c r="O53" i="26" s="1"/>
  <c r="F4" i="17"/>
  <c r="O49" i="17"/>
  <c r="K49" i="17"/>
  <c r="J49" i="17"/>
  <c r="O43" i="17"/>
  <c r="K43" i="17"/>
  <c r="J43" i="17"/>
  <c r="O42" i="17"/>
  <c r="K42" i="17"/>
  <c r="L42" i="17" s="1"/>
  <c r="J42" i="17"/>
  <c r="Q45" i="17"/>
  <c r="P45" i="17"/>
  <c r="O33" i="17"/>
  <c r="K33" i="17"/>
  <c r="L33" i="17" s="1"/>
  <c r="J33" i="17"/>
  <c r="Q44" i="17"/>
  <c r="P44" i="17"/>
  <c r="O48" i="17"/>
  <c r="K48" i="17"/>
  <c r="L48" i="17" s="1"/>
  <c r="J48" i="17"/>
  <c r="Q43" i="17"/>
  <c r="P43" i="17"/>
  <c r="O47" i="17"/>
  <c r="K47" i="17"/>
  <c r="J47" i="17"/>
  <c r="Q42" i="17"/>
  <c r="P42" i="17"/>
  <c r="O37" i="17"/>
  <c r="K37" i="17"/>
  <c r="L37" i="17" s="1"/>
  <c r="J37" i="17"/>
  <c r="Q41" i="17"/>
  <c r="P41" i="17"/>
  <c r="O41" i="17"/>
  <c r="K41" i="17"/>
  <c r="J41" i="17"/>
  <c r="Q40" i="17"/>
  <c r="P40" i="17"/>
  <c r="O40" i="17"/>
  <c r="K40" i="17"/>
  <c r="L40" i="17" s="1"/>
  <c r="J40" i="17"/>
  <c r="Q39" i="17"/>
  <c r="P39" i="17"/>
  <c r="O29" i="17"/>
  <c r="K29" i="17"/>
  <c r="L29" i="17" s="1"/>
  <c r="J29" i="17"/>
  <c r="Q38" i="17"/>
  <c r="P38" i="17"/>
  <c r="O36" i="17"/>
  <c r="K36" i="17"/>
  <c r="L36" i="17" s="1"/>
  <c r="J36" i="17"/>
  <c r="Q37" i="17"/>
  <c r="P37" i="17"/>
  <c r="O46" i="17"/>
  <c r="K46" i="17"/>
  <c r="J46" i="17"/>
  <c r="Q36" i="17"/>
  <c r="P36" i="17"/>
  <c r="O39" i="17"/>
  <c r="K39" i="17"/>
  <c r="L39" i="17" s="1"/>
  <c r="J39" i="17"/>
  <c r="Q35" i="17"/>
  <c r="P35" i="17"/>
  <c r="O38" i="17"/>
  <c r="K38" i="17"/>
  <c r="J38" i="17"/>
  <c r="Q34" i="17"/>
  <c r="P34" i="17"/>
  <c r="O28" i="17"/>
  <c r="K28" i="17"/>
  <c r="L28" i="17" s="1"/>
  <c r="J28" i="17"/>
  <c r="Q33" i="17"/>
  <c r="P33" i="17"/>
  <c r="O35" i="17"/>
  <c r="K35" i="17"/>
  <c r="L35" i="17" s="1"/>
  <c r="J35" i="17"/>
  <c r="Q32" i="17"/>
  <c r="P32" i="17"/>
  <c r="O32" i="17"/>
  <c r="K32" i="17"/>
  <c r="L32" i="17" s="1"/>
  <c r="J32" i="17"/>
  <c r="Q31" i="17"/>
  <c r="P31" i="17"/>
  <c r="O31" i="17"/>
  <c r="L31" i="17"/>
  <c r="K31" i="17"/>
  <c r="J31" i="17"/>
  <c r="Q30" i="17"/>
  <c r="P30" i="17"/>
  <c r="O19" i="17"/>
  <c r="K19" i="17"/>
  <c r="L19" i="17" s="1"/>
  <c r="J19" i="17"/>
  <c r="Q29" i="17"/>
  <c r="P29" i="17"/>
  <c r="O34" i="17"/>
  <c r="L34" i="17"/>
  <c r="K34" i="17"/>
  <c r="J34" i="17"/>
  <c r="Q28" i="17"/>
  <c r="P28" i="17"/>
  <c r="O44" i="17"/>
  <c r="K44" i="17"/>
  <c r="L44" i="17" s="1"/>
  <c r="J44" i="17"/>
  <c r="Q27" i="17"/>
  <c r="P27" i="17"/>
  <c r="O25" i="17"/>
  <c r="K25" i="17"/>
  <c r="J25" i="17"/>
  <c r="Q26" i="17"/>
  <c r="P26" i="17"/>
  <c r="O30" i="17"/>
  <c r="K30" i="17"/>
  <c r="J30" i="17"/>
  <c r="Q25" i="17"/>
  <c r="P25" i="17"/>
  <c r="O23" i="17"/>
  <c r="K23" i="17"/>
  <c r="L23" i="17" s="1"/>
  <c r="J23" i="17"/>
  <c r="Q24" i="17"/>
  <c r="P24" i="17"/>
  <c r="O22" i="17"/>
  <c r="K22" i="17"/>
  <c r="L22" i="17" s="1"/>
  <c r="J22" i="17"/>
  <c r="Q23" i="17"/>
  <c r="P23" i="17"/>
  <c r="O21" i="17"/>
  <c r="K21" i="17"/>
  <c r="J21" i="17"/>
  <c r="Q22" i="17"/>
  <c r="P22" i="17"/>
  <c r="O24" i="17"/>
  <c r="K24" i="17"/>
  <c r="L24" i="17" s="1"/>
  <c r="J24" i="17"/>
  <c r="Q21" i="17"/>
  <c r="P21" i="17"/>
  <c r="O13" i="17"/>
  <c r="K13" i="17"/>
  <c r="J13" i="17"/>
  <c r="Q20" i="17"/>
  <c r="P20" i="17"/>
  <c r="O20" i="17"/>
  <c r="K20" i="17"/>
  <c r="L20" i="17" s="1"/>
  <c r="J20" i="17"/>
  <c r="Q19" i="17"/>
  <c r="P19" i="17"/>
  <c r="O27" i="17"/>
  <c r="K27" i="17"/>
  <c r="J27" i="17"/>
  <c r="Q18" i="17"/>
  <c r="P18" i="17"/>
  <c r="O18" i="17"/>
  <c r="K18" i="17"/>
  <c r="L18" i="17" s="1"/>
  <c r="J18" i="17"/>
  <c r="Q17" i="17"/>
  <c r="P17" i="17"/>
  <c r="O12" i="17"/>
  <c r="L12" i="17"/>
  <c r="K12" i="17"/>
  <c r="J12" i="17"/>
  <c r="Q16" i="17"/>
  <c r="P16" i="17"/>
  <c r="O26" i="17"/>
  <c r="K26" i="17"/>
  <c r="L26" i="17" s="1"/>
  <c r="J26" i="17"/>
  <c r="Q15" i="17"/>
  <c r="P15" i="17"/>
  <c r="O9" i="17"/>
  <c r="K9" i="17"/>
  <c r="L9" i="17" s="1"/>
  <c r="J9" i="17"/>
  <c r="Q14" i="17"/>
  <c r="P14" i="17"/>
  <c r="O11" i="17"/>
  <c r="K11" i="17"/>
  <c r="L11" i="17" s="1"/>
  <c r="J11" i="17"/>
  <c r="Q13" i="17"/>
  <c r="P13" i="17"/>
  <c r="O17" i="17"/>
  <c r="L17" i="17"/>
  <c r="K17" i="17"/>
  <c r="J17" i="17"/>
  <c r="Q12" i="17"/>
  <c r="P12" i="17"/>
  <c r="O15" i="17"/>
  <c r="K15" i="17"/>
  <c r="L15" i="17" s="1"/>
  <c r="J15" i="17"/>
  <c r="Q11" i="17"/>
  <c r="P11" i="17"/>
  <c r="O10" i="17"/>
  <c r="K10" i="17"/>
  <c r="J10" i="17"/>
  <c r="Q10" i="17"/>
  <c r="P10" i="17"/>
  <c r="O14" i="17"/>
  <c r="K14" i="17"/>
  <c r="L14" i="17" s="1"/>
  <c r="J14" i="17"/>
  <c r="Q9" i="17"/>
  <c r="P9" i="17"/>
  <c r="O8" i="17"/>
  <c r="K8" i="17"/>
  <c r="L8" i="17" s="1"/>
  <c r="J8" i="17"/>
  <c r="Q8" i="17"/>
  <c r="P8" i="17"/>
  <c r="O7" i="17"/>
  <c r="K7" i="17"/>
  <c r="L7" i="17" s="1"/>
  <c r="J7" i="17"/>
  <c r="Q7" i="17"/>
  <c r="P7" i="17"/>
  <c r="O16" i="17"/>
  <c r="K16" i="17"/>
  <c r="L16" i="17" s="1"/>
  <c r="J16" i="17"/>
  <c r="Q6" i="17"/>
  <c r="P6" i="17"/>
  <c r="O6" i="17"/>
  <c r="K6" i="17"/>
  <c r="L6" i="17" s="1"/>
  <c r="J6" i="17"/>
  <c r="Q5" i="17"/>
  <c r="P5" i="17"/>
  <c r="O5" i="17"/>
  <c r="K5" i="17"/>
  <c r="J5" i="17"/>
  <c r="Q4" i="17"/>
  <c r="P4" i="17"/>
  <c r="O4" i="17"/>
  <c r="K4" i="17"/>
  <c r="L4" i="17" s="1"/>
  <c r="J4" i="17"/>
  <c r="Q2" i="14"/>
  <c r="P2" i="14"/>
  <c r="O2" i="14"/>
  <c r="Q45" i="14"/>
  <c r="Q44" i="14"/>
  <c r="Q43" i="14"/>
  <c r="Q42" i="14"/>
  <c r="Q41" i="14"/>
  <c r="Q40" i="14"/>
  <c r="Q39" i="14"/>
  <c r="Q38" i="14"/>
  <c r="Q37" i="14"/>
  <c r="Q36" i="14"/>
  <c r="Q35" i="14"/>
  <c r="Q34" i="14"/>
  <c r="Q33" i="14"/>
  <c r="Q32" i="14"/>
  <c r="Q31" i="14"/>
  <c r="Q30" i="14"/>
  <c r="Q29" i="14"/>
  <c r="Q28" i="14"/>
  <c r="Q27" i="14"/>
  <c r="Q26" i="14"/>
  <c r="Q25" i="14"/>
  <c r="Q24" i="14"/>
  <c r="Q23" i="14"/>
  <c r="Q22" i="14"/>
  <c r="Q21" i="14"/>
  <c r="Q20" i="14"/>
  <c r="Q19" i="14"/>
  <c r="Q18" i="14"/>
  <c r="Q17" i="14"/>
  <c r="Q16" i="14"/>
  <c r="Q15" i="14"/>
  <c r="Q14" i="14"/>
  <c r="Q13" i="14"/>
  <c r="Q12" i="14"/>
  <c r="Q11" i="14"/>
  <c r="Q10" i="14"/>
  <c r="Q9" i="14"/>
  <c r="Q8" i="14"/>
  <c r="Q7" i="14"/>
  <c r="Q6" i="14"/>
  <c r="Q5" i="14"/>
  <c r="Q4" i="14"/>
  <c r="P45" i="14"/>
  <c r="P44" i="14"/>
  <c r="P43" i="14"/>
  <c r="P42" i="14"/>
  <c r="P41" i="14"/>
  <c r="P40" i="14"/>
  <c r="P39" i="14"/>
  <c r="P38" i="14"/>
  <c r="P37" i="14"/>
  <c r="P36" i="14"/>
  <c r="P35" i="14"/>
  <c r="P34" i="14"/>
  <c r="P33" i="14"/>
  <c r="P32" i="14"/>
  <c r="P31" i="14"/>
  <c r="P30" i="14"/>
  <c r="P29" i="14"/>
  <c r="P28" i="14"/>
  <c r="P27" i="14"/>
  <c r="P26" i="14"/>
  <c r="P25" i="14"/>
  <c r="P24" i="14"/>
  <c r="P23" i="14"/>
  <c r="P22" i="14"/>
  <c r="P21" i="14"/>
  <c r="P20" i="14"/>
  <c r="P19" i="14"/>
  <c r="P18" i="14"/>
  <c r="P17" i="14"/>
  <c r="P16" i="14"/>
  <c r="P15" i="14"/>
  <c r="P14" i="14"/>
  <c r="P13" i="14"/>
  <c r="P12" i="14"/>
  <c r="P11" i="14"/>
  <c r="P10" i="14"/>
  <c r="P9" i="14"/>
  <c r="P8" i="14"/>
  <c r="P7" i="14"/>
  <c r="P6" i="14"/>
  <c r="P5" i="14"/>
  <c r="P4"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I42" i="14"/>
  <c r="J42" i="14"/>
  <c r="K42" i="14" s="1"/>
  <c r="N42" i="14"/>
  <c r="I43" i="14"/>
  <c r="J43" i="14"/>
  <c r="K43" i="14" s="1"/>
  <c r="N43" i="14"/>
  <c r="I41" i="14"/>
  <c r="N41" i="14"/>
  <c r="J41" i="14"/>
  <c r="L41" i="14" s="1"/>
  <c r="K41" i="14"/>
  <c r="M41" i="14" s="1"/>
  <c r="E5" i="14"/>
  <c r="E7" i="14"/>
  <c r="E6" i="14"/>
  <c r="E10" i="14"/>
  <c r="E8" i="14"/>
  <c r="E9" i="14"/>
  <c r="E11" i="14"/>
  <c r="E12" i="14"/>
  <c r="E13" i="14"/>
  <c r="E21" i="14"/>
  <c r="E31" i="14"/>
  <c r="E48" i="14"/>
  <c r="E46" i="14"/>
  <c r="E47" i="14"/>
  <c r="E4" i="14"/>
  <c r="N47" i="14"/>
  <c r="J47" i="14"/>
  <c r="I47" i="14"/>
  <c r="N45" i="14"/>
  <c r="J45" i="14"/>
  <c r="I45" i="14"/>
  <c r="N46" i="14"/>
  <c r="J46" i="14"/>
  <c r="K46" i="14" s="1"/>
  <c r="I46" i="14"/>
  <c r="N44" i="14"/>
  <c r="J44" i="14"/>
  <c r="K44" i="14" s="1"/>
  <c r="I44" i="14"/>
  <c r="N48" i="14"/>
  <c r="J48" i="14"/>
  <c r="I48" i="14"/>
  <c r="N33" i="14"/>
  <c r="J33" i="14"/>
  <c r="K33" i="14" s="1"/>
  <c r="I33" i="14"/>
  <c r="N39" i="14"/>
  <c r="J39" i="14"/>
  <c r="K39" i="14" s="1"/>
  <c r="I39" i="14"/>
  <c r="N40" i="14"/>
  <c r="J40" i="14"/>
  <c r="I40" i="14"/>
  <c r="N38" i="14"/>
  <c r="J38" i="14"/>
  <c r="K38" i="14" s="1"/>
  <c r="I38" i="14"/>
  <c r="N25" i="14"/>
  <c r="J25" i="14"/>
  <c r="I25" i="14"/>
  <c r="N35" i="14"/>
  <c r="J35" i="14"/>
  <c r="K35" i="14" s="1"/>
  <c r="I35" i="14"/>
  <c r="N37" i="14"/>
  <c r="J37" i="14"/>
  <c r="I37" i="14"/>
  <c r="N31" i="14"/>
  <c r="J31" i="14"/>
  <c r="K31" i="14" s="1"/>
  <c r="I31" i="14"/>
  <c r="N23" i="14"/>
  <c r="J23" i="14"/>
  <c r="I23" i="14"/>
  <c r="N27" i="14"/>
  <c r="J27" i="14"/>
  <c r="K27" i="14" s="1"/>
  <c r="I27" i="14"/>
  <c r="N36" i="14"/>
  <c r="J36" i="14"/>
  <c r="I36" i="14"/>
  <c r="N29" i="14"/>
  <c r="J29" i="14"/>
  <c r="K29" i="14" s="1"/>
  <c r="I29" i="14"/>
  <c r="N22" i="14"/>
  <c r="J22" i="14"/>
  <c r="I22" i="14"/>
  <c r="N32" i="14"/>
  <c r="J32" i="14"/>
  <c r="K32" i="14" s="1"/>
  <c r="I32" i="14"/>
  <c r="N34" i="14"/>
  <c r="J34" i="14"/>
  <c r="I34" i="14"/>
  <c r="N21" i="14"/>
  <c r="J21" i="14"/>
  <c r="I21" i="14"/>
  <c r="N26" i="14"/>
  <c r="J26" i="14"/>
  <c r="I26" i="14"/>
  <c r="N28" i="14"/>
  <c r="J28" i="14"/>
  <c r="K28" i="14" s="1"/>
  <c r="I28" i="14"/>
  <c r="N20" i="14"/>
  <c r="J20" i="14"/>
  <c r="I20" i="14"/>
  <c r="N15" i="14"/>
  <c r="J15" i="14"/>
  <c r="I15" i="14"/>
  <c r="N24" i="14"/>
  <c r="J24" i="14"/>
  <c r="I24" i="14"/>
  <c r="N13" i="14"/>
  <c r="J13" i="14"/>
  <c r="K13" i="14" s="1"/>
  <c r="I13" i="14"/>
  <c r="N19" i="14"/>
  <c r="J19" i="14"/>
  <c r="I19" i="14"/>
  <c r="N14" i="14"/>
  <c r="J14" i="14"/>
  <c r="I14" i="14"/>
  <c r="N17" i="14"/>
  <c r="J17" i="14"/>
  <c r="I17" i="14"/>
  <c r="N12" i="14"/>
  <c r="J12" i="14"/>
  <c r="K12" i="14" s="1"/>
  <c r="I12" i="14"/>
  <c r="N18" i="14"/>
  <c r="J18" i="14"/>
  <c r="I18" i="14"/>
  <c r="N16" i="14"/>
  <c r="J16" i="14"/>
  <c r="I16" i="14"/>
  <c r="N30" i="14"/>
  <c r="J30" i="14"/>
  <c r="I30" i="14"/>
  <c r="N11" i="14"/>
  <c r="J11" i="14"/>
  <c r="K11" i="14" s="1"/>
  <c r="I11" i="14"/>
  <c r="N9" i="14"/>
  <c r="J9" i="14"/>
  <c r="I9" i="14"/>
  <c r="N8" i="14"/>
  <c r="J8" i="14"/>
  <c r="I8" i="14"/>
  <c r="N10" i="14"/>
  <c r="J10" i="14"/>
  <c r="I10" i="14"/>
  <c r="N6" i="14"/>
  <c r="J6" i="14"/>
  <c r="K6" i="14" s="1"/>
  <c r="I6" i="14"/>
  <c r="N7" i="14"/>
  <c r="J7" i="14"/>
  <c r="I7" i="14"/>
  <c r="N5" i="14"/>
  <c r="J5" i="14"/>
  <c r="I5" i="14"/>
  <c r="N4" i="14"/>
  <c r="J4" i="14"/>
  <c r="I4" i="14"/>
  <c r="L25" i="11"/>
  <c r="L24" i="11"/>
  <c r="L27" i="11"/>
  <c r="L26" i="11"/>
  <c r="L29" i="11"/>
  <c r="L28" i="11"/>
  <c r="L31" i="11"/>
  <c r="L30" i="11"/>
  <c r="L33" i="11"/>
  <c r="L32" i="11"/>
  <c r="L34" i="11"/>
  <c r="L35" i="11"/>
  <c r="L37" i="11"/>
  <c r="L36" i="11"/>
  <c r="L39" i="11"/>
  <c r="L38" i="11"/>
  <c r="L41" i="11"/>
  <c r="L40" i="11"/>
  <c r="L43" i="11"/>
  <c r="L42" i="11"/>
  <c r="L45" i="11"/>
  <c r="L44" i="11"/>
  <c r="J20" i="11"/>
  <c r="K20" i="11" s="1"/>
  <c r="I32" i="11"/>
  <c r="I40" i="11"/>
  <c r="J40" i="11" s="1"/>
  <c r="G24" i="11"/>
  <c r="H24" i="11"/>
  <c r="I24" i="11" s="1"/>
  <c r="G27" i="11"/>
  <c r="H27" i="11"/>
  <c r="G26" i="11"/>
  <c r="H26" i="11"/>
  <c r="G29" i="11"/>
  <c r="H29" i="11"/>
  <c r="G28" i="11"/>
  <c r="H28" i="11"/>
  <c r="G31" i="11"/>
  <c r="H31" i="11"/>
  <c r="G30" i="11"/>
  <c r="H30" i="11"/>
  <c r="G33" i="11"/>
  <c r="H33" i="11"/>
  <c r="I33" i="11" s="1"/>
  <c r="J33" i="11" s="1"/>
  <c r="G32" i="11"/>
  <c r="H32" i="11"/>
  <c r="G34" i="11"/>
  <c r="H34" i="11"/>
  <c r="G35" i="11"/>
  <c r="H35" i="11"/>
  <c r="G37" i="11"/>
  <c r="H37" i="11"/>
  <c r="G36" i="11"/>
  <c r="H36" i="11"/>
  <c r="G39" i="11"/>
  <c r="H39" i="11"/>
  <c r="G38" i="11"/>
  <c r="H38" i="11"/>
  <c r="G41" i="11"/>
  <c r="H41" i="11"/>
  <c r="I41" i="11" s="1"/>
  <c r="G40" i="11"/>
  <c r="H40" i="11"/>
  <c r="G43" i="11"/>
  <c r="H43" i="11"/>
  <c r="G42" i="11"/>
  <c r="H42" i="11"/>
  <c r="G45" i="11"/>
  <c r="H45" i="11"/>
  <c r="G44" i="11"/>
  <c r="H44" i="11"/>
  <c r="G20" i="11"/>
  <c r="L20" i="11"/>
  <c r="H20" i="11"/>
  <c r="I20" i="11" s="1"/>
  <c r="G14" i="11"/>
  <c r="L14" i="11"/>
  <c r="H14" i="11"/>
  <c r="I14" i="11" s="1"/>
  <c r="D13" i="11"/>
  <c r="D11" i="11"/>
  <c r="D21" i="11"/>
  <c r="D6" i="11"/>
  <c r="D7" i="11"/>
  <c r="D5" i="11"/>
  <c r="D8" i="11"/>
  <c r="D10" i="11"/>
  <c r="D9" i="11"/>
  <c r="D4" i="11"/>
  <c r="D12" i="11"/>
  <c r="B2" i="12" a="1"/>
  <c r="E41" i="14" s="1"/>
  <c r="L15" i="11"/>
  <c r="H15" i="11"/>
  <c r="I15" i="11" s="1"/>
  <c r="G15" i="11"/>
  <c r="L5" i="11"/>
  <c r="H5" i="11"/>
  <c r="I5" i="11" s="1"/>
  <c r="J5" i="11" s="1"/>
  <c r="G5" i="11"/>
  <c r="L18" i="11"/>
  <c r="H18" i="11"/>
  <c r="G18" i="11"/>
  <c r="L16" i="11"/>
  <c r="H16" i="11"/>
  <c r="G16" i="11"/>
  <c r="L6" i="11"/>
  <c r="H6" i="11"/>
  <c r="I6" i="11" s="1"/>
  <c r="G6" i="11"/>
  <c r="L9" i="11"/>
  <c r="H9" i="11"/>
  <c r="I9" i="11" s="1"/>
  <c r="G9" i="11"/>
  <c r="L8" i="11"/>
  <c r="H8" i="11"/>
  <c r="G8" i="11"/>
  <c r="L22" i="11"/>
  <c r="H22" i="11"/>
  <c r="I22" i="11" s="1"/>
  <c r="G22" i="11"/>
  <c r="L7" i="11"/>
  <c r="H7" i="11"/>
  <c r="G7" i="11"/>
  <c r="L23" i="11"/>
  <c r="H23" i="11"/>
  <c r="I23" i="11" s="1"/>
  <c r="G23" i="11"/>
  <c r="L11" i="11"/>
  <c r="H11" i="11"/>
  <c r="G11" i="11"/>
  <c r="H25" i="11"/>
  <c r="I25" i="11" s="1"/>
  <c r="J25" i="11" s="1"/>
  <c r="G25" i="11"/>
  <c r="L21" i="11"/>
  <c r="H21" i="11"/>
  <c r="G21" i="11"/>
  <c r="L10" i="11"/>
  <c r="H10" i="11"/>
  <c r="G10" i="11"/>
  <c r="L17" i="11"/>
  <c r="H17" i="11"/>
  <c r="G17" i="11"/>
  <c r="L12" i="11"/>
  <c r="H12" i="11"/>
  <c r="G12" i="11"/>
  <c r="L19" i="11"/>
  <c r="H19" i="11"/>
  <c r="I19" i="11" s="1"/>
  <c r="G19" i="11"/>
  <c r="L13" i="11"/>
  <c r="H13" i="11"/>
  <c r="G13" i="11"/>
  <c r="L4" i="11"/>
  <c r="H4" i="11"/>
  <c r="G4" i="11"/>
  <c r="X2" i="1"/>
  <c r="Y2" i="1" s="1"/>
  <c r="Z2" i="1" s="1"/>
  <c r="AA2" i="1" s="1"/>
  <c r="AB2" i="1" s="1"/>
  <c r="Q2" i="1"/>
  <c r="R2" i="1" s="1"/>
  <c r="S2" i="1" s="1"/>
  <c r="T2" i="1" s="1"/>
  <c r="U2" i="1" s="1"/>
  <c r="L4" i="1"/>
  <c r="L5" i="1" s="1"/>
  <c r="L6" i="1" s="1"/>
  <c r="L7" i="1" s="1"/>
  <c r="L8" i="1" s="1"/>
  <c r="L9" i="1" s="1"/>
  <c r="L10" i="1" s="1"/>
  <c r="L11" i="1" s="1"/>
  <c r="L12" i="1" s="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D28" i="11" l="1"/>
  <c r="E44" i="14"/>
  <c r="E37" i="14"/>
  <c r="E34" i="14"/>
  <c r="E19" i="14"/>
  <c r="E43" i="14"/>
  <c r="E33" i="14"/>
  <c r="E23" i="14"/>
  <c r="E26" i="14"/>
  <c r="E17" i="14"/>
  <c r="E39" i="14"/>
  <c r="E27" i="14"/>
  <c r="E28" i="14"/>
  <c r="E40" i="14"/>
  <c r="E36" i="14"/>
  <c r="E20" i="14"/>
  <c r="E18" i="14"/>
  <c r="E38" i="14"/>
  <c r="E29" i="14"/>
  <c r="E16" i="14"/>
  <c r="D45" i="11"/>
  <c r="E45" i="14"/>
  <c r="E25" i="14"/>
  <c r="E22" i="14"/>
  <c r="E24" i="14"/>
  <c r="E30" i="14"/>
  <c r="D20" i="11"/>
  <c r="G17" i="26"/>
  <c r="G26" i="26"/>
  <c r="G29" i="26"/>
  <c r="G28" i="26"/>
  <c r="F33" i="17"/>
  <c r="F34" i="17"/>
  <c r="F17" i="17"/>
  <c r="F44" i="17"/>
  <c r="F31" i="17"/>
  <c r="G38" i="26"/>
  <c r="G25" i="26"/>
  <c r="G32" i="26"/>
  <c r="G30" i="26"/>
  <c r="G34" i="26"/>
  <c r="F39" i="17"/>
  <c r="F20" i="17"/>
  <c r="F26" i="17"/>
  <c r="G24" i="26"/>
  <c r="F43" i="17"/>
  <c r="G39" i="26"/>
  <c r="G21" i="26"/>
  <c r="G44" i="26"/>
  <c r="F38" i="17"/>
  <c r="F25" i="17"/>
  <c r="F27" i="17"/>
  <c r="F37" i="17"/>
  <c r="F30" i="17"/>
  <c r="F40" i="17"/>
  <c r="G40" i="26"/>
  <c r="G15" i="26"/>
  <c r="G27" i="26"/>
  <c r="G43" i="26"/>
  <c r="G36" i="26"/>
  <c r="F28" i="17"/>
  <c r="F18" i="17"/>
  <c r="G42" i="26"/>
  <c r="G19" i="26"/>
  <c r="G23" i="26"/>
  <c r="G20" i="26"/>
  <c r="F45" i="17"/>
  <c r="F41" i="17"/>
  <c r="F35" i="17"/>
  <c r="F23" i="17"/>
  <c r="F32" i="17"/>
  <c r="G18" i="26"/>
  <c r="F21" i="17"/>
  <c r="G31" i="26"/>
  <c r="G41" i="26"/>
  <c r="G35" i="26"/>
  <c r="F22" i="17"/>
  <c r="G22" i="26"/>
  <c r="F29" i="17"/>
  <c r="G16" i="26"/>
  <c r="G33" i="26"/>
  <c r="G37" i="26"/>
  <c r="F42" i="17"/>
  <c r="F36" i="17"/>
  <c r="F19" i="17"/>
  <c r="F24" i="17"/>
  <c r="F16" i="17"/>
  <c r="D37" i="11"/>
  <c r="E35" i="14"/>
  <c r="E32" i="14"/>
  <c r="E42" i="14"/>
  <c r="R4" i="17"/>
  <c r="R12" i="17"/>
  <c r="R44" i="17"/>
  <c r="R6" i="17"/>
  <c r="R11" i="17"/>
  <c r="M12" i="17"/>
  <c r="R22" i="17"/>
  <c r="L21" i="17"/>
  <c r="M21" i="17" s="1"/>
  <c r="R27" i="17"/>
  <c r="M35" i="17"/>
  <c r="R38" i="17"/>
  <c r="R43" i="17"/>
  <c r="R16" i="17"/>
  <c r="R21" i="17"/>
  <c r="M25" i="17"/>
  <c r="R32" i="17"/>
  <c r="R37" i="17"/>
  <c r="R33" i="17"/>
  <c r="M29" i="17"/>
  <c r="R5" i="17"/>
  <c r="R10" i="17"/>
  <c r="L10" i="17"/>
  <c r="M10" i="17" s="1"/>
  <c r="R15" i="17"/>
  <c r="R26" i="17"/>
  <c r="L25" i="17"/>
  <c r="R31" i="17"/>
  <c r="R42" i="17"/>
  <c r="L47" i="17"/>
  <c r="R28" i="17"/>
  <c r="L5" i="17"/>
  <c r="M5" i="17" s="1"/>
  <c r="N5" i="17" s="1"/>
  <c r="R9" i="17"/>
  <c r="M9" i="17"/>
  <c r="R20" i="17"/>
  <c r="L13" i="17"/>
  <c r="M13" i="17" s="1"/>
  <c r="N13" i="17" s="1"/>
  <c r="R25" i="17"/>
  <c r="M31" i="17"/>
  <c r="N31" i="17" s="1"/>
  <c r="R36" i="17"/>
  <c r="L46" i="17"/>
  <c r="M46" i="17" s="1"/>
  <c r="N46" i="17" s="1"/>
  <c r="R41" i="17"/>
  <c r="R17" i="17"/>
  <c r="M8" i="17"/>
  <c r="R14" i="17"/>
  <c r="R19" i="17"/>
  <c r="M23" i="17"/>
  <c r="R30" i="17"/>
  <c r="R35" i="17"/>
  <c r="R8" i="17"/>
  <c r="R13" i="17"/>
  <c r="R24" i="17"/>
  <c r="N23" i="17"/>
  <c r="R29" i="17"/>
  <c r="R40" i="17"/>
  <c r="L41" i="17"/>
  <c r="R45" i="17"/>
  <c r="M16" i="17"/>
  <c r="N16" i="17" s="1"/>
  <c r="P2" i="17"/>
  <c r="N8" i="17"/>
  <c r="Q2" i="17"/>
  <c r="R7" i="17"/>
  <c r="M17" i="17"/>
  <c r="N17" i="17" s="1"/>
  <c r="R18" i="17"/>
  <c r="L27" i="17"/>
  <c r="M27" i="17" s="1"/>
  <c r="R23" i="17"/>
  <c r="M34" i="17"/>
  <c r="N34" i="17" s="1"/>
  <c r="R34" i="17"/>
  <c r="L38" i="17"/>
  <c r="M38" i="17" s="1"/>
  <c r="R39" i="17"/>
  <c r="M33" i="17"/>
  <c r="N33" i="17" s="1"/>
  <c r="M18" i="17"/>
  <c r="N18" i="17" s="1"/>
  <c r="M28" i="17"/>
  <c r="N28" i="17" s="1"/>
  <c r="M15" i="17"/>
  <c r="N15" i="17" s="1"/>
  <c r="M44" i="17"/>
  <c r="N44" i="17" s="1"/>
  <c r="N29" i="17"/>
  <c r="M48" i="17"/>
  <c r="N48" i="17" s="1"/>
  <c r="M7" i="17"/>
  <c r="N7" i="17" s="1"/>
  <c r="M6" i="17"/>
  <c r="N6" i="17" s="1"/>
  <c r="N12" i="17"/>
  <c r="M24" i="17"/>
  <c r="N24" i="17" s="1"/>
  <c r="N35" i="17"/>
  <c r="M36" i="17"/>
  <c r="N36" i="17" s="1"/>
  <c r="M26" i="17"/>
  <c r="N26" i="17" s="1"/>
  <c r="M32" i="17"/>
  <c r="N32" i="17" s="1"/>
  <c r="M4" i="17"/>
  <c r="N4" i="17" s="1"/>
  <c r="M14" i="17"/>
  <c r="N14" i="17" s="1"/>
  <c r="M37" i="17"/>
  <c r="N37" i="17" s="1"/>
  <c r="N9" i="17"/>
  <c r="M20" i="17"/>
  <c r="N20" i="17" s="1"/>
  <c r="M39" i="17"/>
  <c r="N39" i="17" s="1"/>
  <c r="M11" i="17"/>
  <c r="N11" i="17" s="1"/>
  <c r="M19" i="17"/>
  <c r="N19" i="17" s="1"/>
  <c r="M42" i="17"/>
  <c r="N42" i="17"/>
  <c r="M22" i="17"/>
  <c r="N22" i="17" s="1"/>
  <c r="M40" i="17"/>
  <c r="N40" i="17" s="1"/>
  <c r="L49" i="17"/>
  <c r="M49" i="17" s="1"/>
  <c r="L43" i="17"/>
  <c r="M43" i="17" s="1"/>
  <c r="L30" i="17"/>
  <c r="M30" i="17" s="1"/>
  <c r="M42" i="14"/>
  <c r="L42" i="14"/>
  <c r="L43" i="14"/>
  <c r="M43" i="14" s="1"/>
  <c r="L32" i="14"/>
  <c r="M32" i="14" s="1"/>
  <c r="L11" i="14"/>
  <c r="M11" i="14"/>
  <c r="L13" i="14"/>
  <c r="M13" i="14" s="1"/>
  <c r="L31" i="14"/>
  <c r="M31" i="14" s="1"/>
  <c r="L6" i="14"/>
  <c r="M6" i="14" s="1"/>
  <c r="L28" i="14"/>
  <c r="M28" i="14" s="1"/>
  <c r="L27" i="14"/>
  <c r="M27" i="14" s="1"/>
  <c r="L44" i="14"/>
  <c r="M44" i="14" s="1"/>
  <c r="L12" i="14"/>
  <c r="M12" i="14"/>
  <c r="M29" i="14"/>
  <c r="L29" i="14"/>
  <c r="L38" i="14"/>
  <c r="M38" i="14" s="1"/>
  <c r="L33" i="14"/>
  <c r="M33" i="14" s="1"/>
  <c r="L35" i="14"/>
  <c r="M35" i="14" s="1"/>
  <c r="L39" i="14"/>
  <c r="M39" i="14" s="1"/>
  <c r="L46" i="14"/>
  <c r="M46" i="14" s="1"/>
  <c r="K7" i="14"/>
  <c r="L7" i="14" s="1"/>
  <c r="K9" i="14"/>
  <c r="L9" i="14" s="1"/>
  <c r="K18" i="14"/>
  <c r="K19" i="14"/>
  <c r="L19" i="14" s="1"/>
  <c r="K20" i="14"/>
  <c r="K34" i="14"/>
  <c r="K36" i="14"/>
  <c r="K37" i="14"/>
  <c r="K40" i="14"/>
  <c r="L40" i="14" s="1"/>
  <c r="K5" i="14"/>
  <c r="L5" i="14" s="1"/>
  <c r="K8" i="14"/>
  <c r="K16" i="14"/>
  <c r="L16" i="14" s="1"/>
  <c r="K14" i="14"/>
  <c r="L14" i="14" s="1"/>
  <c r="K15" i="14"/>
  <c r="L15" i="14" s="1"/>
  <c r="K21" i="14"/>
  <c r="L21" i="14" s="1"/>
  <c r="K48" i="14"/>
  <c r="K47" i="14"/>
  <c r="L47" i="14" s="1"/>
  <c r="K4" i="14"/>
  <c r="L4" i="14" s="1"/>
  <c r="K10" i="14"/>
  <c r="L10" i="14" s="1"/>
  <c r="K30" i="14"/>
  <c r="L30" i="14" s="1"/>
  <c r="K17" i="14"/>
  <c r="K24" i="14"/>
  <c r="L24" i="14" s="1"/>
  <c r="K26" i="14"/>
  <c r="K22" i="14"/>
  <c r="L22" i="14" s="1"/>
  <c r="K23" i="14"/>
  <c r="L23" i="14" s="1"/>
  <c r="K25" i="14"/>
  <c r="L25" i="14" s="1"/>
  <c r="K45" i="14"/>
  <c r="J19" i="11"/>
  <c r="J14" i="11"/>
  <c r="J15" i="11"/>
  <c r="K22" i="11"/>
  <c r="J32" i="11"/>
  <c r="K32" i="11" s="1"/>
  <c r="J41" i="11"/>
  <c r="K41" i="11" s="1"/>
  <c r="I38" i="11"/>
  <c r="I30" i="11"/>
  <c r="J30" i="11" s="1"/>
  <c r="J22" i="11"/>
  <c r="J24" i="11"/>
  <c r="K24" i="11" s="1"/>
  <c r="I39" i="11"/>
  <c r="I31" i="11"/>
  <c r="J23" i="11"/>
  <c r="K23" i="11" s="1"/>
  <c r="K40" i="11"/>
  <c r="I44" i="11"/>
  <c r="I36" i="11"/>
  <c r="J36" i="11" s="1"/>
  <c r="I28" i="11"/>
  <c r="J28" i="11" s="1"/>
  <c r="K33" i="11"/>
  <c r="K25" i="11"/>
  <c r="I45" i="11"/>
  <c r="I37" i="11"/>
  <c r="I29" i="11"/>
  <c r="I42" i="11"/>
  <c r="I35" i="11"/>
  <c r="J35" i="11" s="1"/>
  <c r="I26" i="11"/>
  <c r="J26" i="11" s="1"/>
  <c r="I43" i="11"/>
  <c r="J43" i="11" s="1"/>
  <c r="I34" i="11"/>
  <c r="J34" i="11" s="1"/>
  <c r="I27" i="11"/>
  <c r="K14" i="11"/>
  <c r="D43" i="11"/>
  <c r="D35" i="11"/>
  <c r="D26" i="11"/>
  <c r="D18" i="11"/>
  <c r="D42" i="11"/>
  <c r="D34" i="11"/>
  <c r="D27" i="11"/>
  <c r="D19" i="11"/>
  <c r="D41" i="11"/>
  <c r="D32" i="11"/>
  <c r="D25" i="11"/>
  <c r="D16" i="11"/>
  <c r="D40" i="11"/>
  <c r="D33" i="11"/>
  <c r="D24" i="11"/>
  <c r="D17" i="11"/>
  <c r="B2" i="12"/>
  <c r="D39" i="11"/>
  <c r="D31" i="11"/>
  <c r="D23" i="11"/>
  <c r="D38" i="11"/>
  <c r="D30" i="11"/>
  <c r="D22" i="11"/>
  <c r="D44" i="11"/>
  <c r="D36" i="11"/>
  <c r="D29" i="11"/>
  <c r="K15" i="11"/>
  <c r="K19" i="11"/>
  <c r="J6" i="11"/>
  <c r="K6" i="11" s="1"/>
  <c r="I13" i="11"/>
  <c r="J13" i="11" s="1"/>
  <c r="J9" i="11"/>
  <c r="K9" i="11" s="1"/>
  <c r="I18" i="11"/>
  <c r="K5" i="11"/>
  <c r="I21" i="11"/>
  <c r="I8" i="11"/>
  <c r="J8" i="11" s="1"/>
  <c r="I10" i="11"/>
  <c r="I4" i="11"/>
  <c r="I17" i="11"/>
  <c r="J17" i="11" s="1"/>
  <c r="I11" i="11"/>
  <c r="J11" i="11" s="1"/>
  <c r="I12" i="11"/>
  <c r="J12" i="11" s="1"/>
  <c r="I7" i="11"/>
  <c r="I16" i="11"/>
  <c r="J16" i="11" s="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3" i="1"/>
  <c r="G4" i="1"/>
  <c r="G5" i="1"/>
  <c r="G6" i="1"/>
  <c r="G7" i="1"/>
  <c r="G8" i="1"/>
  <c r="H8" i="1" s="1"/>
  <c r="G9" i="1"/>
  <c r="H9" i="1" s="1"/>
  <c r="G10" i="1"/>
  <c r="G11" i="1"/>
  <c r="G12" i="1"/>
  <c r="G13" i="1"/>
  <c r="G14" i="1"/>
  <c r="G15" i="1"/>
  <c r="H15" i="1" s="1"/>
  <c r="G16" i="1"/>
  <c r="H16" i="1" s="1"/>
  <c r="I16" i="1" s="1"/>
  <c r="G17" i="1"/>
  <c r="H17" i="1" s="1"/>
  <c r="G18" i="1"/>
  <c r="G19" i="1"/>
  <c r="G20" i="1"/>
  <c r="G21" i="1"/>
  <c r="G22" i="1"/>
  <c r="G23" i="1"/>
  <c r="G24" i="1"/>
  <c r="H24" i="1" s="1"/>
  <c r="I24" i="1" s="1"/>
  <c r="G25" i="1"/>
  <c r="H25" i="1" s="1"/>
  <c r="G26" i="1"/>
  <c r="G27" i="1"/>
  <c r="G28" i="1"/>
  <c r="G29" i="1"/>
  <c r="G30" i="1"/>
  <c r="G31" i="1"/>
  <c r="H31" i="1" s="1"/>
  <c r="G32" i="1"/>
  <c r="H32" i="1" s="1"/>
  <c r="G33" i="1"/>
  <c r="H33" i="1" s="1"/>
  <c r="G34" i="1"/>
  <c r="G35" i="1"/>
  <c r="G36" i="1"/>
  <c r="G37" i="1"/>
  <c r="G38" i="1"/>
  <c r="G39" i="1"/>
  <c r="G40" i="1"/>
  <c r="H40" i="1" s="1"/>
  <c r="G41" i="1"/>
  <c r="H41" i="1" s="1"/>
  <c r="G42" i="1"/>
  <c r="G43" i="1"/>
  <c r="G44" i="1"/>
  <c r="G3" i="1"/>
  <c r="M3" i="1" a="1"/>
  <c r="F15" i="17" l="1"/>
  <c r="G14" i="26"/>
  <c r="F14" i="17"/>
  <c r="G13" i="26"/>
  <c r="E15" i="14"/>
  <c r="E14" i="14"/>
  <c r="R2" i="17"/>
  <c r="N21" i="17"/>
  <c r="N27" i="17"/>
  <c r="N25" i="17"/>
  <c r="M41" i="17"/>
  <c r="N41" i="17" s="1"/>
  <c r="M47" i="17"/>
  <c r="N47" i="17" s="1"/>
  <c r="N10" i="17"/>
  <c r="N38" i="17"/>
  <c r="N43" i="17"/>
  <c r="N30" i="17"/>
  <c r="N49" i="17"/>
  <c r="M24" i="14"/>
  <c r="M15" i="14"/>
  <c r="L34" i="14"/>
  <c r="M34" i="14" s="1"/>
  <c r="L26" i="14"/>
  <c r="M26" i="14" s="1"/>
  <c r="M30" i="14"/>
  <c r="M45" i="14"/>
  <c r="M10" i="14"/>
  <c r="L18" i="14"/>
  <c r="M18" i="14" s="1"/>
  <c r="M21" i="14"/>
  <c r="L37" i="14"/>
  <c r="M37" i="14" s="1"/>
  <c r="M14" i="14"/>
  <c r="L36" i="14"/>
  <c r="M36" i="14" s="1"/>
  <c r="M16" i="14"/>
  <c r="M19" i="14"/>
  <c r="L20" i="14"/>
  <c r="M20" i="14" s="1"/>
  <c r="L48" i="14"/>
  <c r="M48" i="14" s="1"/>
  <c r="M25" i="14"/>
  <c r="M4" i="14"/>
  <c r="M5" i="14"/>
  <c r="M9" i="14"/>
  <c r="L17" i="14"/>
  <c r="M17" i="14" s="1"/>
  <c r="L45" i="14"/>
  <c r="L8" i="14"/>
  <c r="M8" i="14" s="1"/>
  <c r="M23" i="14"/>
  <c r="M47" i="14"/>
  <c r="M40" i="14"/>
  <c r="M7" i="14"/>
  <c r="M22" i="14"/>
  <c r="J18" i="11"/>
  <c r="K18" i="11" s="1"/>
  <c r="J21" i="11"/>
  <c r="K21" i="11" s="1"/>
  <c r="J42" i="11"/>
  <c r="K42" i="11" s="1"/>
  <c r="K45" i="11"/>
  <c r="J29" i="11"/>
  <c r="K29" i="11" s="1"/>
  <c r="K34" i="11"/>
  <c r="J37" i="11"/>
  <c r="K37" i="11" s="1"/>
  <c r="K43" i="11"/>
  <c r="J45" i="11"/>
  <c r="J44" i="11"/>
  <c r="K44" i="11" s="1"/>
  <c r="K26" i="11"/>
  <c r="K28" i="11"/>
  <c r="J27" i="11"/>
  <c r="K27" i="11" s="1"/>
  <c r="K35" i="11"/>
  <c r="K36" i="11"/>
  <c r="K30" i="11"/>
  <c r="J38" i="11"/>
  <c r="K38" i="11" s="1"/>
  <c r="J31" i="11"/>
  <c r="K31" i="11" s="1"/>
  <c r="J39" i="11"/>
  <c r="K39" i="11" s="1"/>
  <c r="D15" i="11"/>
  <c r="D14" i="11"/>
  <c r="K16" i="11"/>
  <c r="K17" i="11"/>
  <c r="K8" i="11"/>
  <c r="J4" i="11"/>
  <c r="K4" i="11" s="1"/>
  <c r="K11" i="11"/>
  <c r="K13" i="11"/>
  <c r="K12" i="11"/>
  <c r="J10" i="11"/>
  <c r="K10" i="11" s="1"/>
  <c r="J7" i="11"/>
  <c r="K7" i="11" s="1"/>
  <c r="M13" i="1"/>
  <c r="M38" i="1"/>
  <c r="M24" i="1"/>
  <c r="M3" i="1"/>
  <c r="M28" i="1"/>
  <c r="M44" i="1"/>
  <c r="M15" i="1"/>
  <c r="M9" i="1"/>
  <c r="M42" i="1"/>
  <c r="M21" i="1"/>
  <c r="M7" i="1"/>
  <c r="M32" i="1"/>
  <c r="M11" i="1"/>
  <c r="M36" i="1"/>
  <c r="M29" i="1"/>
  <c r="M40" i="1"/>
  <c r="M19" i="1"/>
  <c r="M16" i="1"/>
  <c r="M37" i="1"/>
  <c r="M23" i="1"/>
  <c r="M10" i="1"/>
  <c r="M27" i="1"/>
  <c r="M17" i="1"/>
  <c r="M39" i="1"/>
  <c r="M43" i="1"/>
  <c r="M33" i="1"/>
  <c r="M8" i="1"/>
  <c r="M34" i="1"/>
  <c r="M41" i="1"/>
  <c r="M5" i="1"/>
  <c r="M12" i="1"/>
  <c r="M6" i="1"/>
  <c r="M31" i="1"/>
  <c r="M18" i="1"/>
  <c r="M35" i="1"/>
  <c r="M25" i="1"/>
  <c r="M14" i="1"/>
  <c r="M26" i="1"/>
  <c r="M22" i="1"/>
  <c r="M4" i="1"/>
  <c r="M30" i="1"/>
  <c r="M20" i="1"/>
  <c r="H23" i="1"/>
  <c r="I23" i="1" s="1"/>
  <c r="J23" i="1" s="1"/>
  <c r="I31" i="1"/>
  <c r="J31" i="1" s="1"/>
  <c r="H39" i="1"/>
  <c r="I39" i="1" s="1"/>
  <c r="J39" i="1" s="1"/>
  <c r="H7" i="1"/>
  <c r="I7" i="1" s="1"/>
  <c r="J7" i="1" s="1"/>
  <c r="I15" i="1"/>
  <c r="J15" i="1" s="1"/>
  <c r="I33" i="1"/>
  <c r="J33" i="1" s="1"/>
  <c r="I9" i="1"/>
  <c r="J9" i="1" s="1"/>
  <c r="I41" i="1"/>
  <c r="J41" i="1" s="1"/>
  <c r="I25" i="1"/>
  <c r="J25" i="1" s="1"/>
  <c r="I17" i="1"/>
  <c r="J17" i="1" s="1"/>
  <c r="H38" i="1"/>
  <c r="H30" i="1"/>
  <c r="H22" i="1"/>
  <c r="H14" i="1"/>
  <c r="I14" i="1" s="1"/>
  <c r="H6" i="1"/>
  <c r="I6" i="1" s="1"/>
  <c r="H3" i="1"/>
  <c r="I3" i="1" s="1"/>
  <c r="J3" i="1" s="1"/>
  <c r="H37" i="1"/>
  <c r="H29" i="1"/>
  <c r="I29" i="1" s="1"/>
  <c r="H21" i="1"/>
  <c r="H13" i="1"/>
  <c r="H5" i="1"/>
  <c r="I5" i="1" s="1"/>
  <c r="J24" i="1"/>
  <c r="H44" i="1"/>
  <c r="H36" i="1"/>
  <c r="I36" i="1" s="1"/>
  <c r="H28" i="1"/>
  <c r="H20" i="1"/>
  <c r="I20" i="1" s="1"/>
  <c r="H12" i="1"/>
  <c r="I12" i="1" s="1"/>
  <c r="H4" i="1"/>
  <c r="J16" i="1"/>
  <c r="I40" i="1"/>
  <c r="J40" i="1" s="1"/>
  <c r="I32" i="1"/>
  <c r="J32" i="1" s="1"/>
  <c r="I8" i="1"/>
  <c r="J8" i="1" s="1"/>
  <c r="H43" i="1"/>
  <c r="I43" i="1" s="1"/>
  <c r="J43" i="1" s="1"/>
  <c r="H35" i="1"/>
  <c r="I35" i="1" s="1"/>
  <c r="J35" i="1" s="1"/>
  <c r="H27" i="1"/>
  <c r="I27" i="1" s="1"/>
  <c r="J27" i="1" s="1"/>
  <c r="H19" i="1"/>
  <c r="I19" i="1" s="1"/>
  <c r="J19" i="1" s="1"/>
  <c r="H11" i="1"/>
  <c r="I11" i="1" s="1"/>
  <c r="J11" i="1" s="1"/>
  <c r="H42" i="1"/>
  <c r="I42" i="1" s="1"/>
  <c r="J42" i="1" s="1"/>
  <c r="H34" i="1"/>
  <c r="I34" i="1" s="1"/>
  <c r="J34" i="1" s="1"/>
  <c r="H26" i="1"/>
  <c r="I26" i="1" s="1"/>
  <c r="J26" i="1" s="1"/>
  <c r="H18" i="1"/>
  <c r="I18" i="1" s="1"/>
  <c r="J18" i="1" s="1"/>
  <c r="H10" i="1"/>
  <c r="I10" i="1" s="1"/>
  <c r="J10" i="1" s="1"/>
  <c r="P14" i="1"/>
  <c r="P15" i="1"/>
  <c r="Q3" i="1" l="1"/>
  <c r="T3" i="1"/>
  <c r="P4" i="1"/>
  <c r="T4" i="1"/>
  <c r="U3" i="1"/>
  <c r="P3" i="1"/>
  <c r="R5" i="1"/>
  <c r="U5" i="1"/>
  <c r="R3" i="1"/>
  <c r="Q4" i="1"/>
  <c r="Q5" i="1"/>
  <c r="U4" i="1"/>
  <c r="T5" i="1"/>
  <c r="S4" i="1"/>
  <c r="S5" i="1"/>
  <c r="R4" i="1"/>
  <c r="S3" i="1"/>
  <c r="P5" i="1"/>
  <c r="I30" i="1"/>
  <c r="J30" i="1" s="1"/>
  <c r="J5" i="1"/>
  <c r="I22" i="1"/>
  <c r="J22" i="1" s="1"/>
  <c r="J12" i="1"/>
  <c r="I38" i="1"/>
  <c r="J38" i="1" s="1"/>
  <c r="J6" i="1"/>
  <c r="J14" i="1"/>
  <c r="J29" i="1"/>
  <c r="I13" i="1"/>
  <c r="J13" i="1" s="1"/>
  <c r="I4" i="1"/>
  <c r="J4" i="1" s="1"/>
  <c r="I21" i="1"/>
  <c r="J21" i="1" s="1"/>
  <c r="J20" i="1"/>
  <c r="J36" i="1"/>
  <c r="I28" i="1"/>
  <c r="J28" i="1" s="1"/>
  <c r="I37" i="1"/>
  <c r="J37" i="1" s="1"/>
  <c r="I44" i="1"/>
  <c r="J44" i="1" s="1"/>
  <c r="W19" i="1" l="1" a="1"/>
  <c r="W19" i="1" s="1"/>
  <c r="W28" i="1" a="1"/>
  <c r="W28" i="1" s="1"/>
  <c r="W16" i="1" a="1"/>
  <c r="W16" i="1" s="1"/>
  <c r="W25" i="1" a="1"/>
  <c r="W25" i="1" s="1"/>
  <c r="W17" i="1" a="1"/>
  <c r="W17" i="1" s="1"/>
  <c r="W42" i="1" a="1"/>
  <c r="W42" i="1" s="1"/>
  <c r="W36" i="1" a="1"/>
  <c r="W36" i="1" s="1"/>
  <c r="W3" i="1" a="1"/>
  <c r="W3" i="1" s="1"/>
  <c r="W18" i="1" a="1"/>
  <c r="W18" i="1" s="1"/>
  <c r="W31" i="1" a="1"/>
  <c r="W31" i="1" s="1"/>
  <c r="W21" i="1" a="1"/>
  <c r="W21" i="1" s="1"/>
  <c r="W32" i="1" a="1"/>
  <c r="W32" i="1" s="1"/>
  <c r="W43" i="1" a="1"/>
  <c r="W43" i="1" s="1"/>
  <c r="W4" i="1" a="1"/>
  <c r="W4" i="1" s="1"/>
  <c r="W20" i="1" a="1"/>
  <c r="W20" i="1" s="1"/>
  <c r="W39" i="1" a="1"/>
  <c r="W39" i="1" s="1"/>
  <c r="W23" i="1" a="1"/>
  <c r="W23" i="1" s="1"/>
  <c r="W41" i="1" a="1"/>
  <c r="W41" i="1" s="1"/>
  <c r="W44" i="1" a="1"/>
  <c r="W44" i="1" s="1"/>
  <c r="W22" i="1" a="1"/>
  <c r="W22" i="1" s="1"/>
  <c r="W27" i="1" a="1"/>
  <c r="W27" i="1" s="1"/>
  <c r="W6" i="1" a="1"/>
  <c r="W6" i="1" s="1"/>
  <c r="W5" i="1" a="1"/>
  <c r="W5" i="1" s="1"/>
  <c r="W34" i="1" a="1"/>
  <c r="W34" i="1" s="1"/>
  <c r="W8" i="1" a="1"/>
  <c r="W8" i="1" s="1"/>
  <c r="W24" i="1" a="1"/>
  <c r="W24" i="1" s="1"/>
  <c r="W7" i="1" a="1"/>
  <c r="W7" i="1" s="1"/>
  <c r="W29" i="1" a="1"/>
  <c r="W29" i="1" s="1"/>
  <c r="W30" i="1" a="1"/>
  <c r="W30" i="1" s="1"/>
  <c r="W10" i="1" a="1"/>
  <c r="W10" i="1" s="1"/>
  <c r="W26" i="1" a="1"/>
  <c r="W26" i="1" s="1"/>
  <c r="W9" i="1" a="1"/>
  <c r="W9" i="1" s="1"/>
  <c r="W33" i="1" a="1"/>
  <c r="W33" i="1" s="1"/>
  <c r="W38" i="1" a="1"/>
  <c r="W38" i="1" s="1"/>
  <c r="W12" i="1" a="1"/>
  <c r="W12" i="1" s="1"/>
  <c r="W15" i="1" a="1"/>
  <c r="W15" i="1" s="1"/>
  <c r="W11" i="1" a="1"/>
  <c r="W11" i="1" s="1"/>
  <c r="W35" i="1" a="1"/>
  <c r="W35" i="1" s="1"/>
  <c r="W40" i="1" a="1"/>
  <c r="W40" i="1" s="1"/>
  <c r="W14" i="1" a="1"/>
  <c r="W14" i="1" s="1"/>
  <c r="W13" i="1" a="1"/>
  <c r="W13" i="1" s="1"/>
  <c r="W37" i="1" a="1"/>
  <c r="W37" i="1" s="1"/>
  <c r="AB18" i="1" a="1"/>
  <c r="AB18" i="1" s="1"/>
  <c r="AB9" i="1" a="1"/>
  <c r="AB9" i="1" s="1"/>
  <c r="AB34" i="1" a="1"/>
  <c r="AB34" i="1" s="1"/>
  <c r="AB22" i="1" a="1"/>
  <c r="AB22" i="1" s="1"/>
  <c r="AB21" i="1" a="1"/>
  <c r="AB21" i="1" s="1"/>
  <c r="AB13" i="1" a="1"/>
  <c r="AB13" i="1" s="1"/>
  <c r="AB42" i="1" a="1"/>
  <c r="AB42" i="1" s="1"/>
  <c r="AB38" i="1" a="1"/>
  <c r="AB38" i="1" s="1"/>
  <c r="AB24" i="1" a="1"/>
  <c r="AB24" i="1" s="1"/>
  <c r="AB25" i="1" a="1"/>
  <c r="AB25" i="1" s="1"/>
  <c r="AB17" i="1" a="1"/>
  <c r="AB17" i="1" s="1"/>
  <c r="AB43" i="1" a="1"/>
  <c r="AB43" i="1" s="1"/>
  <c r="AB4" i="1" a="1"/>
  <c r="AB4" i="1" s="1"/>
  <c r="AB28" i="1" a="1"/>
  <c r="AB28" i="1" s="1"/>
  <c r="AB29" i="1" a="1"/>
  <c r="AB29" i="1" s="1"/>
  <c r="AB19" i="1" a="1"/>
  <c r="AB19" i="1" s="1"/>
  <c r="AB44" i="1" a="1"/>
  <c r="AB44" i="1" s="1"/>
  <c r="AB12" i="1" a="1"/>
  <c r="AB12" i="1" s="1"/>
  <c r="AB32" i="1" a="1"/>
  <c r="AB32" i="1" s="1"/>
  <c r="AB23" i="1" a="1"/>
  <c r="AB23" i="1" s="1"/>
  <c r="AB6" i="1" a="1"/>
  <c r="AB6" i="1" s="1"/>
  <c r="AB33" i="1" a="1"/>
  <c r="AB33" i="1" s="1"/>
  <c r="AB41" i="1" a="1"/>
  <c r="AB41" i="1" s="1"/>
  <c r="AB16" i="1" a="1"/>
  <c r="AB16" i="1" s="1"/>
  <c r="AB8" i="1" a="1"/>
  <c r="AB8" i="1" s="1"/>
  <c r="AB36" i="1" a="1"/>
  <c r="AB36" i="1" s="1"/>
  <c r="AB37" i="1" a="1"/>
  <c r="AB37" i="1" s="1"/>
  <c r="AB27" i="1" a="1"/>
  <c r="AB27" i="1" s="1"/>
  <c r="AB20" i="1" a="1"/>
  <c r="AB20" i="1" s="1"/>
  <c r="AB10" i="1" a="1"/>
  <c r="AB10" i="1" s="1"/>
  <c r="AB40" i="1" a="1"/>
  <c r="AB40" i="1" s="1"/>
  <c r="AB5" i="1" a="1"/>
  <c r="AB5" i="1" s="1"/>
  <c r="AB31" i="1" a="1"/>
  <c r="AB31" i="1" s="1"/>
  <c r="AB26" i="1" a="1"/>
  <c r="AB26" i="1" s="1"/>
  <c r="AB14" i="1" a="1"/>
  <c r="AB14" i="1" s="1"/>
  <c r="AB11" i="1" a="1"/>
  <c r="AB11" i="1" s="1"/>
  <c r="AB7" i="1" a="1"/>
  <c r="AB7" i="1" s="1"/>
  <c r="AB35" i="1" a="1"/>
  <c r="AB35" i="1" s="1"/>
  <c r="AB30" i="1" a="1"/>
  <c r="AB30" i="1" s="1"/>
  <c r="AB15" i="1" a="1"/>
  <c r="AB15" i="1" s="1"/>
  <c r="AB39" i="1" a="1"/>
  <c r="AB39" i="1" s="1"/>
  <c r="AB3" i="1" a="1"/>
  <c r="AB3" i="1" s="1"/>
  <c r="AA10" i="1" a="1"/>
  <c r="AA10" i="1" s="1"/>
  <c r="AA35" i="1" a="1"/>
  <c r="AA35" i="1" s="1"/>
  <c r="AA36" i="1" a="1"/>
  <c r="AA36" i="1" s="1"/>
  <c r="AA12" i="1" a="1"/>
  <c r="AA12" i="1" s="1"/>
  <c r="AA13" i="1" a="1"/>
  <c r="AA13" i="1" s="1"/>
  <c r="AA37" i="1" a="1"/>
  <c r="AA37" i="1" s="1"/>
  <c r="AA31" i="1" a="1"/>
  <c r="AA31" i="1" s="1"/>
  <c r="AA42" i="1" a="1"/>
  <c r="AA42" i="1" s="1"/>
  <c r="AA14" i="1" a="1"/>
  <c r="AA14" i="1" s="1"/>
  <c r="AA17" i="1" a="1"/>
  <c r="AA17" i="1" s="1"/>
  <c r="AA5" i="1" a="1"/>
  <c r="AA5" i="1" s="1"/>
  <c r="AA39" i="1" a="1"/>
  <c r="AA39" i="1" s="1"/>
  <c r="AA28" i="1" a="1"/>
  <c r="AA28" i="1" s="1"/>
  <c r="AA16" i="1" a="1"/>
  <c r="AA16" i="1" s="1"/>
  <c r="AA21" i="1" a="1"/>
  <c r="AA21" i="1" s="1"/>
  <c r="AA7" i="1" a="1"/>
  <c r="AA7" i="1" s="1"/>
  <c r="AA40" i="1" a="1"/>
  <c r="AA40" i="1" s="1"/>
  <c r="AA30" i="1" a="1"/>
  <c r="AA30" i="1" s="1"/>
  <c r="AA18" i="1" a="1"/>
  <c r="AA18" i="1" s="1"/>
  <c r="AA9" i="1" a="1"/>
  <c r="AA9" i="1" s="1"/>
  <c r="AA41" i="1" a="1"/>
  <c r="AA41" i="1" s="1"/>
  <c r="AA23" i="1" a="1"/>
  <c r="AA23" i="1" s="1"/>
  <c r="AA34" i="1" a="1"/>
  <c r="AA34" i="1" s="1"/>
  <c r="AA4" i="1" a="1"/>
  <c r="AA4" i="1" s="1"/>
  <c r="AA20" i="1" a="1"/>
  <c r="AA20" i="1" s="1"/>
  <c r="AA27" i="1" a="1"/>
  <c r="AA27" i="1" s="1"/>
  <c r="AA11" i="1" a="1"/>
  <c r="AA11" i="1" s="1"/>
  <c r="AA43" i="1" a="1"/>
  <c r="AA43" i="1" s="1"/>
  <c r="AA38" i="1" a="1"/>
  <c r="AA38" i="1" s="1"/>
  <c r="AA6" i="1" a="1"/>
  <c r="AA6" i="1" s="1"/>
  <c r="AA22" i="1" a="1"/>
  <c r="AA22" i="1" s="1"/>
  <c r="AA29" i="1" a="1"/>
  <c r="AA29" i="1" s="1"/>
  <c r="AA15" i="1" a="1"/>
  <c r="AA15" i="1" s="1"/>
  <c r="AA32" i="1" a="1"/>
  <c r="AA32" i="1" s="1"/>
  <c r="AA8" i="1" a="1"/>
  <c r="AA8" i="1" s="1"/>
  <c r="AA24" i="1" a="1"/>
  <c r="AA24" i="1" s="1"/>
  <c r="AA33" i="1" a="1"/>
  <c r="AA33" i="1" s="1"/>
  <c r="AA19" i="1" a="1"/>
  <c r="AA19" i="1" s="1"/>
  <c r="AA44" i="1" a="1"/>
  <c r="AA44" i="1" s="1"/>
  <c r="AA26" i="1" a="1"/>
  <c r="AA26" i="1" s="1"/>
  <c r="AA25" i="1" a="1"/>
  <c r="AA25" i="1" s="1"/>
  <c r="AA3" i="1" a="1"/>
  <c r="AA3" i="1" s="1"/>
  <c r="Z7" i="1" a="1"/>
  <c r="Z7" i="1" s="1"/>
  <c r="Z19" i="1" a="1"/>
  <c r="Z19" i="1" s="1"/>
  <c r="Z9" i="1" a="1"/>
  <c r="Z9" i="1" s="1"/>
  <c r="Z35" i="1" a="1"/>
  <c r="Z35" i="1" s="1"/>
  <c r="Z36" i="1" a="1"/>
  <c r="Z36" i="1" s="1"/>
  <c r="Z26" i="1" a="1"/>
  <c r="Z26" i="1" s="1"/>
  <c r="Z25" i="1" a="1"/>
  <c r="Z25" i="1" s="1"/>
  <c r="Z11" i="1" a="1"/>
  <c r="Z11" i="1" s="1"/>
  <c r="Z39" i="1" a="1"/>
  <c r="Z39" i="1" s="1"/>
  <c r="Z4" i="1" a="1"/>
  <c r="Z4" i="1" s="1"/>
  <c r="Z30" i="1" a="1"/>
  <c r="Z30" i="1" s="1"/>
  <c r="Z29" i="1" a="1"/>
  <c r="Z29" i="1" s="1"/>
  <c r="Z13" i="1" a="1"/>
  <c r="Z13" i="1" s="1"/>
  <c r="Z14" i="1" a="1"/>
  <c r="Z14" i="1" s="1"/>
  <c r="Z6" i="1" a="1"/>
  <c r="Z6" i="1" s="1"/>
  <c r="Z34" i="1" a="1"/>
  <c r="Z34" i="1" s="1"/>
  <c r="Z33" i="1" a="1"/>
  <c r="Z33" i="1" s="1"/>
  <c r="Z18" i="1" a="1"/>
  <c r="Z18" i="1" s="1"/>
  <c r="Z8" i="1" a="1"/>
  <c r="Z8" i="1" s="1"/>
  <c r="Z44" i="1" a="1"/>
  <c r="Z44" i="1" s="1"/>
  <c r="Z17" i="1" a="1"/>
  <c r="Z17" i="1" s="1"/>
  <c r="Z37" i="1" a="1"/>
  <c r="Z37" i="1" s="1"/>
  <c r="Z21" i="1" a="1"/>
  <c r="Z21" i="1" s="1"/>
  <c r="Z20" i="1" a="1"/>
  <c r="Z20" i="1" s="1"/>
  <c r="Z10" i="1" a="1"/>
  <c r="Z10" i="1" s="1"/>
  <c r="Z42" i="1" a="1"/>
  <c r="Z42" i="1" s="1"/>
  <c r="Z41" i="1" a="1"/>
  <c r="Z41" i="1" s="1"/>
  <c r="Z23" i="1" a="1"/>
  <c r="Z23" i="1" s="1"/>
  <c r="Z24" i="1" a="1"/>
  <c r="Z24" i="1" s="1"/>
  <c r="Z12" i="1" a="1"/>
  <c r="Z12" i="1" s="1"/>
  <c r="Z43" i="1" a="1"/>
  <c r="Z43" i="1" s="1"/>
  <c r="Z5" i="1" a="1"/>
  <c r="Z5" i="1" s="1"/>
  <c r="Z27" i="1" a="1"/>
  <c r="Z27" i="1" s="1"/>
  <c r="Z28" i="1" a="1"/>
  <c r="Z28" i="1" s="1"/>
  <c r="Z16" i="1" a="1"/>
  <c r="Z16" i="1" s="1"/>
  <c r="Z38" i="1" a="1"/>
  <c r="Z38" i="1" s="1"/>
  <c r="Z3" i="1" a="1"/>
  <c r="Z3" i="1" s="1"/>
  <c r="Z15" i="1" a="1"/>
  <c r="Z15" i="1" s="1"/>
  <c r="Z31" i="1" a="1"/>
  <c r="Z31" i="1" s="1"/>
  <c r="Z32" i="1" a="1"/>
  <c r="Z32" i="1" s="1"/>
  <c r="Z22" i="1" a="1"/>
  <c r="Z22" i="1" s="1"/>
  <c r="Z40" i="1" a="1"/>
  <c r="Z40" i="1" s="1"/>
  <c r="Y26" i="1" a="1"/>
  <c r="Y26" i="1" s="1"/>
  <c r="Y40" i="1" a="1"/>
  <c r="Y40" i="1" s="1"/>
  <c r="Y5" i="1" a="1"/>
  <c r="Y5" i="1" s="1"/>
  <c r="Y21" i="1" a="1"/>
  <c r="Y21" i="1" s="1"/>
  <c r="Y28" i="1" a="1"/>
  <c r="Y28" i="1" s="1"/>
  <c r="Y14" i="1" a="1"/>
  <c r="Y14" i="1" s="1"/>
  <c r="Y37" i="1" a="1"/>
  <c r="Y37" i="1" s="1"/>
  <c r="Y31" i="1" a="1"/>
  <c r="Y31" i="1" s="1"/>
  <c r="Y7" i="1" a="1"/>
  <c r="Y7" i="1" s="1"/>
  <c r="Y23" i="1" a="1"/>
  <c r="Y23" i="1" s="1"/>
  <c r="Y32" i="1" a="1"/>
  <c r="Y32" i="1" s="1"/>
  <c r="Y18" i="1" a="1"/>
  <c r="Y18" i="1" s="1"/>
  <c r="Y39" i="1" a="1"/>
  <c r="Y39" i="1" s="1"/>
  <c r="Y9" i="1" a="1"/>
  <c r="Y9" i="1" s="1"/>
  <c r="Y25" i="1" a="1"/>
  <c r="Y25" i="1" s="1"/>
  <c r="Y34" i="1" a="1"/>
  <c r="Y34" i="1" s="1"/>
  <c r="Y24" i="1" a="1"/>
  <c r="Y24" i="1" s="1"/>
  <c r="Y43" i="1" a="1"/>
  <c r="Y43" i="1" s="1"/>
  <c r="Y11" i="1" a="1"/>
  <c r="Y11" i="1" s="1"/>
  <c r="Y10" i="1" a="1"/>
  <c r="Y10" i="1" s="1"/>
  <c r="Y30" i="1" a="1"/>
  <c r="Y30" i="1" s="1"/>
  <c r="Y27" i="1" a="1"/>
  <c r="Y27" i="1" s="1"/>
  <c r="Y36" i="1" a="1"/>
  <c r="Y36" i="1" s="1"/>
  <c r="Y13" i="1" a="1"/>
  <c r="Y13" i="1" s="1"/>
  <c r="Y16" i="1" a="1"/>
  <c r="Y16" i="1" s="1"/>
  <c r="Y4" i="1" a="1"/>
  <c r="Y4" i="1" s="1"/>
  <c r="Y38" i="1" a="1"/>
  <c r="Y38" i="1" s="1"/>
  <c r="Y35" i="1" a="1"/>
  <c r="Y35" i="1" s="1"/>
  <c r="Y15" i="1" a="1"/>
  <c r="Y15" i="1" s="1"/>
  <c r="Y20" i="1" a="1"/>
  <c r="Y20" i="1" s="1"/>
  <c r="Y6" i="1" a="1"/>
  <c r="Y6" i="1" s="1"/>
  <c r="Y44" i="1" a="1"/>
  <c r="Y44" i="1" s="1"/>
  <c r="Y41" i="1" a="1"/>
  <c r="Y41" i="1" s="1"/>
  <c r="Y17" i="1" a="1"/>
  <c r="Y17" i="1" s="1"/>
  <c r="Y22" i="1" a="1"/>
  <c r="Y22" i="1" s="1"/>
  <c r="Y8" i="1" a="1"/>
  <c r="Y8" i="1" s="1"/>
  <c r="Y42" i="1" a="1"/>
  <c r="Y42" i="1" s="1"/>
  <c r="Y33" i="1" a="1"/>
  <c r="Y33" i="1" s="1"/>
  <c r="Y19" i="1" a="1"/>
  <c r="Y19" i="1" s="1"/>
  <c r="Y12" i="1" a="1"/>
  <c r="Y12" i="1" s="1"/>
  <c r="Y29" i="1" a="1"/>
  <c r="Y29" i="1" s="1"/>
  <c r="Y3" i="1" a="1"/>
  <c r="Y3" i="1" s="1"/>
  <c r="X38" i="1" a="1"/>
  <c r="X38" i="1" s="1"/>
  <c r="X29" i="1" a="1"/>
  <c r="X29" i="1" s="1"/>
  <c r="X8" i="1" a="1"/>
  <c r="X8" i="1" s="1"/>
  <c r="X33" i="1" a="1"/>
  <c r="X33" i="1" s="1"/>
  <c r="X42" i="1" a="1"/>
  <c r="X42" i="1" s="1"/>
  <c r="X5" i="1" a="1"/>
  <c r="X5" i="1" s="1"/>
  <c r="X24" i="1" a="1"/>
  <c r="X24" i="1" s="1"/>
  <c r="X12" i="1" a="1"/>
  <c r="X12" i="1" s="1"/>
  <c r="X9" i="1" a="1"/>
  <c r="X9" i="1" s="1"/>
  <c r="X7" i="1" a="1"/>
  <c r="X7" i="1" s="1"/>
  <c r="X28" i="1" a="1"/>
  <c r="X28" i="1" s="1"/>
  <c r="X16" i="1" a="1"/>
  <c r="X16" i="1" s="1"/>
  <c r="X13" i="1" a="1"/>
  <c r="X13" i="1" s="1"/>
  <c r="X11" i="1" a="1"/>
  <c r="X11" i="1" s="1"/>
  <c r="X43" i="1" a="1"/>
  <c r="X43" i="1" s="1"/>
  <c r="X3" i="1" a="1"/>
  <c r="X3" i="1" s="1"/>
  <c r="X20" i="1" a="1"/>
  <c r="X20" i="1" s="1"/>
  <c r="X17" i="1" a="1"/>
  <c r="X17" i="1" s="1"/>
  <c r="X41" i="1" a="1"/>
  <c r="X41" i="1" s="1"/>
  <c r="X39" i="1" a="1"/>
  <c r="X39" i="1" s="1"/>
  <c r="X44" i="1" a="1"/>
  <c r="X44" i="1" s="1"/>
  <c r="X32" i="1" a="1"/>
  <c r="X32" i="1" s="1"/>
  <c r="X15" i="1" a="1"/>
  <c r="X15" i="1" s="1"/>
  <c r="X19" i="1" a="1"/>
  <c r="X19" i="1" s="1"/>
  <c r="X36" i="1" a="1"/>
  <c r="X36" i="1" s="1"/>
  <c r="X26" i="1" a="1"/>
  <c r="X26" i="1" s="1"/>
  <c r="X23" i="1" a="1"/>
  <c r="X23" i="1" s="1"/>
  <c r="X10" i="1" a="1"/>
  <c r="X10" i="1" s="1"/>
  <c r="X40" i="1" a="1"/>
  <c r="X40" i="1" s="1"/>
  <c r="X30" i="1" a="1"/>
  <c r="X30" i="1" s="1"/>
  <c r="X27" i="1" a="1"/>
  <c r="X27" i="1" s="1"/>
  <c r="X21" i="1" a="1"/>
  <c r="X21" i="1" s="1"/>
  <c r="X37" i="1" a="1"/>
  <c r="X37" i="1" s="1"/>
  <c r="X14" i="1" a="1"/>
  <c r="X14" i="1" s="1"/>
  <c r="X4" i="1" a="1"/>
  <c r="X4" i="1" s="1"/>
  <c r="X34" i="1" a="1"/>
  <c r="X34" i="1" s="1"/>
  <c r="X31" i="1" a="1"/>
  <c r="X31" i="1" s="1"/>
  <c r="X25" i="1" a="1"/>
  <c r="X25" i="1" s="1"/>
  <c r="X18" i="1" a="1"/>
  <c r="X18" i="1" s="1"/>
  <c r="X6" i="1" a="1"/>
  <c r="X6" i="1" s="1"/>
  <c r="X35" i="1" a="1"/>
  <c r="X35" i="1" s="1"/>
  <c r="X22" i="1" a="1"/>
  <c r="X22" i="1" s="1"/>
  <c r="AC13" i="1" l="1"/>
  <c r="AC8" i="1"/>
  <c r="AC18" i="1"/>
  <c r="AC14" i="1"/>
  <c r="AC9" i="1"/>
  <c r="AC34" i="1"/>
  <c r="AC39" i="1"/>
  <c r="AC3" i="1"/>
  <c r="P17" i="1" s="1"/>
  <c r="AC40" i="1"/>
  <c r="AC26" i="1"/>
  <c r="AC5" i="1"/>
  <c r="AC20" i="1"/>
  <c r="AC36" i="1"/>
  <c r="AC35" i="1"/>
  <c r="AC10" i="1"/>
  <c r="AC6" i="1"/>
  <c r="AC4" i="1"/>
  <c r="AC42" i="1"/>
  <c r="AC11" i="1"/>
  <c r="AC27" i="1"/>
  <c r="AC17" i="1"/>
  <c r="AC30" i="1"/>
  <c r="AC43" i="1"/>
  <c r="AC15" i="1"/>
  <c r="AC29" i="1"/>
  <c r="AC22" i="1"/>
  <c r="AC32" i="1"/>
  <c r="AC25" i="1"/>
  <c r="AC12" i="1"/>
  <c r="AC7" i="1"/>
  <c r="AC44" i="1"/>
  <c r="AC21" i="1"/>
  <c r="AC16" i="1"/>
  <c r="AC37" i="1"/>
  <c r="AC38" i="1"/>
  <c r="AC24" i="1"/>
  <c r="AC41" i="1"/>
  <c r="AC31" i="1"/>
  <c r="AC28" i="1"/>
  <c r="AC33" i="1"/>
  <c r="AC23" i="1"/>
  <c r="AC19" i="1"/>
  <c r="P1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<sst xmlns="http://schemas.openxmlformats.org/spreadsheetml/2006/main" count="2255" uniqueCount="256">
  <si>
    <t>File:</t>
  </si>
  <si>
    <t>Description of File:</t>
  </si>
  <si>
    <t>https://fredpink.com/</t>
  </si>
  <si>
    <t>Wrestler Name</t>
  </si>
  <si>
    <t>weight (in kg)</t>
  </si>
  <si>
    <t>height (in cm)</t>
  </si>
  <si>
    <t>height in inches</t>
  </si>
  <si>
    <t>height (feet)</t>
  </si>
  <si>
    <t>height (inches)</t>
  </si>
  <si>
    <t>Height (American)</t>
  </si>
  <si>
    <t>Weight (pounds)</t>
  </si>
  <si>
    <t>Tournaments won</t>
  </si>
  <si>
    <t>Rank for January 2022</t>
  </si>
  <si>
    <t>M17W</t>
  </si>
  <si>
    <t>Yokozuna</t>
  </si>
  <si>
    <t>M15W</t>
  </si>
  <si>
    <t>M18E</t>
  </si>
  <si>
    <t>M15E</t>
  </si>
  <si>
    <t>M17E</t>
  </si>
  <si>
    <t>M16E</t>
  </si>
  <si>
    <t>M13E</t>
  </si>
  <si>
    <t>M14E</t>
  </si>
  <si>
    <t>M02W</t>
  </si>
  <si>
    <t>M04E</t>
  </si>
  <si>
    <t>M03E</t>
  </si>
  <si>
    <t>M06W</t>
  </si>
  <si>
    <t>BMI</t>
  </si>
  <si>
    <t>M07E</t>
  </si>
  <si>
    <t>M10E</t>
  </si>
  <si>
    <t>M14W</t>
  </si>
  <si>
    <t>M03W</t>
  </si>
  <si>
    <t>Sekiwake</t>
  </si>
  <si>
    <t>M01W</t>
  </si>
  <si>
    <t>M04W</t>
  </si>
  <si>
    <t>M07W</t>
  </si>
  <si>
    <t>M08E</t>
  </si>
  <si>
    <t>M10W</t>
  </si>
  <si>
    <t>M13W</t>
  </si>
  <si>
    <t>M16W</t>
  </si>
  <si>
    <t>Ozeki</t>
  </si>
  <si>
    <t>M05W</t>
  </si>
  <si>
    <t>M11E</t>
  </si>
  <si>
    <t>Komusubi</t>
  </si>
  <si>
    <t>M12W</t>
  </si>
  <si>
    <t>M01E</t>
  </si>
  <si>
    <t>M09E</t>
  </si>
  <si>
    <t>M09W</t>
  </si>
  <si>
    <t>M05E</t>
  </si>
  <si>
    <t>M02E</t>
  </si>
  <si>
    <t>M08W</t>
  </si>
  <si>
    <t>M12E</t>
  </si>
  <si>
    <t>M11W</t>
  </si>
  <si>
    <t>Cluster</t>
  </si>
  <si>
    <t>Centroid</t>
  </si>
  <si>
    <t># of clusters</t>
  </si>
  <si>
    <t>Minkowski p</t>
  </si>
  <si>
    <t># of runs</t>
  </si>
  <si>
    <t>X 1</t>
  </si>
  <si>
    <t>X 2</t>
  </si>
  <si>
    <t>Dist^p</t>
  </si>
  <si>
    <t># of iter</t>
  </si>
  <si>
    <t>Converge</t>
  </si>
  <si>
    <t>Error</t>
  </si>
  <si>
    <t>6' 4.4"</t>
  </si>
  <si>
    <t>6' 3.6"</t>
  </si>
  <si>
    <t>6' 3.2"</t>
  </si>
  <si>
    <t>6' 2.8"</t>
  </si>
  <si>
    <t>6' 2.4"</t>
  </si>
  <si>
    <t>6' 2"</t>
  </si>
  <si>
    <t>6' 1.6"</t>
  </si>
  <si>
    <t>6' 0"</t>
  </si>
  <si>
    <t>6' 1.2"</t>
  </si>
  <si>
    <t>6' 0.8"</t>
  </si>
  <si>
    <t>6' 0.4"</t>
  </si>
  <si>
    <t>5' 11.7"</t>
  </si>
  <si>
    <t>5' 11.3"</t>
  </si>
  <si>
    <t>5' 10.9"</t>
  </si>
  <si>
    <t>5' 10.5"</t>
  </si>
  <si>
    <t>5' 10.1"</t>
  </si>
  <si>
    <t>5' 9.7"</t>
  </si>
  <si>
    <t>5' 9.3"</t>
  </si>
  <si>
    <t>5' 8.9"</t>
  </si>
  <si>
    <t>5' 7.7"</t>
  </si>
  <si>
    <t>5' 6.5"</t>
  </si>
  <si>
    <t>X 3</t>
  </si>
  <si>
    <t>Kaisei</t>
  </si>
  <si>
    <t>Terunofuji</t>
  </si>
  <si>
    <t>Tochinoshin</t>
  </si>
  <si>
    <t>Oho</t>
  </si>
  <si>
    <t>Ichinojo</t>
  </si>
  <si>
    <t>Okinoumi</t>
  </si>
  <si>
    <t>Aoiyama</t>
  </si>
  <si>
    <t>Tamawashi</t>
  </si>
  <si>
    <t>Abi</t>
  </si>
  <si>
    <t>Kotonowaka</t>
  </si>
  <si>
    <t>Hoshoryu</t>
  </si>
  <si>
    <t>Takayasu</t>
  </si>
  <si>
    <t>Myogiryu</t>
  </si>
  <si>
    <t>Ichiyamamoto</t>
  </si>
  <si>
    <t>Endo</t>
  </si>
  <si>
    <t>Wakamotoharu</t>
  </si>
  <si>
    <t>Takanosho</t>
  </si>
  <si>
    <t>Kiribayama</t>
  </si>
  <si>
    <t>Hokutofuji</t>
  </si>
  <si>
    <t>Takarafuji</t>
  </si>
  <si>
    <t>Hidenoumi</t>
  </si>
  <si>
    <t>Akua</t>
  </si>
  <si>
    <t>Yutakayama</t>
  </si>
  <si>
    <t>Tsurugisho</t>
  </si>
  <si>
    <t>Shodai</t>
  </si>
  <si>
    <t>Chiyoshoma</t>
  </si>
  <si>
    <t>Sadanoumi</t>
  </si>
  <si>
    <t>Daieisho</t>
  </si>
  <si>
    <t>Chiyotairyu</t>
  </si>
  <si>
    <t>Wakatakakage</t>
  </si>
  <si>
    <t>Chiyonokuni</t>
  </si>
  <si>
    <t>Mitakeumi</t>
  </si>
  <si>
    <t>Meisei</t>
  </si>
  <si>
    <t>Shimanoumi</t>
  </si>
  <si>
    <t>Chiyomaru</t>
  </si>
  <si>
    <t>Onosho</t>
  </si>
  <si>
    <t>Ura</t>
  </si>
  <si>
    <t>Kotoeko</t>
  </si>
  <si>
    <t>Takakeisho</t>
  </si>
  <si>
    <t>Tobizaru</t>
  </si>
  <si>
    <t>Ishiura</t>
  </si>
  <si>
    <t>Terutsuyoshi</t>
  </si>
  <si>
    <t>https://twitter.com/SumoFollower/status/1518933651962138624</t>
  </si>
  <si>
    <t>Sekitori weights are out! The previous time they were published was in August 2021. Terunofuji lost 3kg, now 181kg, Mitakeumi lost 5kg, now 169, Wakatkakage gained 1kg, now 131, Hoshoryu gained 9kg, now 141, Takayasu gained 7kg, now 184, Ichinojo gained 5kg, now 211.</t>
  </si>
  <si>
    <t>for January 2022 tournament</t>
  </si>
  <si>
    <t>Update for May 2022 tournament</t>
  </si>
  <si>
    <t>Rank for September 2022</t>
  </si>
  <si>
    <t>M01</t>
  </si>
  <si>
    <t>Midorifuji</t>
  </si>
  <si>
    <t>https://www.sumo.or.jp/EnHonbashoBanzuke/index/</t>
  </si>
  <si>
    <t>M07</t>
  </si>
  <si>
    <t>M02</t>
  </si>
  <si>
    <t>M03</t>
  </si>
  <si>
    <t>Nishikigi</t>
  </si>
  <si>
    <t>M04</t>
  </si>
  <si>
    <t>M05</t>
  </si>
  <si>
    <t>M06</t>
  </si>
  <si>
    <t>M08</t>
  </si>
  <si>
    <t>M09</t>
  </si>
  <si>
    <t>Nishikifuji</t>
  </si>
  <si>
    <t>M10</t>
  </si>
  <si>
    <t>Kotoshoho</t>
  </si>
  <si>
    <t>M11</t>
  </si>
  <si>
    <t>M12</t>
  </si>
  <si>
    <t>Ryuden</t>
  </si>
  <si>
    <t>M13</t>
  </si>
  <si>
    <t>M14</t>
  </si>
  <si>
    <t>M15</t>
  </si>
  <si>
    <t>Mitoryu</t>
  </si>
  <si>
    <t>M16</t>
  </si>
  <si>
    <t>Hiradoumi</t>
  </si>
  <si>
    <t>Rank value</t>
  </si>
  <si>
    <t>https://www.reddit.com/r/SumoMemes/comments/x7stvh/latest_rikishi_heightweight_table_from_nikkan/</t>
  </si>
  <si>
    <t>Original Data courtesy of Fred Pinkerton</t>
  </si>
  <si>
    <t>Update for September 2022</t>
  </si>
  <si>
    <t>Update for November 2022</t>
  </si>
  <si>
    <t>as of 6 Nov 2022</t>
  </si>
  <si>
    <t xml:space="preserve">https://www.sumo.or.jp/EnHonbashoBanzuke/index/ </t>
  </si>
  <si>
    <t>Rank for November 2022</t>
  </si>
  <si>
    <t>Notes</t>
  </si>
  <si>
    <t>just had knee surgery, will not be at November tournament</t>
  </si>
  <si>
    <t>Azumaryu</t>
  </si>
  <si>
    <t>Kagayaki</t>
  </si>
  <si>
    <t>Atamifuji</t>
  </si>
  <si>
    <t>J04</t>
  </si>
  <si>
    <t>J03</t>
  </si>
  <si>
    <t>rank by height</t>
  </si>
  <si>
    <t>rank by weight</t>
  </si>
  <si>
    <t>rank by BMI</t>
  </si>
  <si>
    <t>need to build up history of ranks</t>
  </si>
  <si>
    <t>Rank for January 2023</t>
  </si>
  <si>
    <t>Will be out for January 2023 tournament</t>
  </si>
  <si>
    <t>Current rank value</t>
  </si>
  <si>
    <t>heights and weights checked Jan 6, 2023</t>
  </si>
  <si>
    <t>retired</t>
  </si>
  <si>
    <t>J10</t>
  </si>
  <si>
    <t>weight in November (kg)</t>
  </si>
  <si>
    <t>Change</t>
  </si>
  <si>
    <t>Update for January 2023</t>
  </si>
  <si>
    <t>as of 6 Jan 2023</t>
  </si>
  <si>
    <t>Rank for March 2023</t>
  </si>
  <si>
    <t>M17</t>
  </si>
  <si>
    <t>J08</t>
  </si>
  <si>
    <t>Daishoho</t>
  </si>
  <si>
    <t>Kinbozan</t>
  </si>
  <si>
    <t>Bushozan</t>
  </si>
  <si>
    <t>Hokuseiho</t>
  </si>
  <si>
    <t>J02</t>
  </si>
  <si>
    <t>retired January 2023</t>
  </si>
  <si>
    <t>Ms01</t>
  </si>
  <si>
    <t>Height went from 185 to 188?</t>
  </si>
  <si>
    <t>Height went from 183 to 182?</t>
  </si>
  <si>
    <t>heights and weights checked Mar 5, 2023?</t>
  </si>
  <si>
    <t>height went up from 186 to 187</t>
  </si>
  <si>
    <t>height went up from 183 to 184</t>
  </si>
  <si>
    <t>height went from 187 to 186</t>
  </si>
  <si>
    <t>height went from 187 to 188</t>
  </si>
  <si>
    <t>height went from 184 to 185</t>
  </si>
  <si>
    <t>height went from 178 to 177</t>
  </si>
  <si>
    <t>height went from 189 up to 191</t>
  </si>
  <si>
    <t>height went from 183 to 184</t>
  </si>
  <si>
    <t>height went from 186 to 188</t>
  </si>
  <si>
    <t>height went from 189 to 188</t>
  </si>
  <si>
    <t>height went from 190 to 191</t>
  </si>
  <si>
    <t>height went from 184 to 183</t>
  </si>
  <si>
    <t>height went from 191 to 192</t>
  </si>
  <si>
    <t>height went from 189 to 190</t>
  </si>
  <si>
    <t>height went from 190 to 189</t>
  </si>
  <si>
    <t>height went from 177 to 178</t>
  </si>
  <si>
    <t>Update for March 2023</t>
  </si>
  <si>
    <t>as of 5 Mar 2023</t>
  </si>
  <si>
    <t>height in January (cm)</t>
  </si>
  <si>
    <t>Day 14 record</t>
  </si>
  <si>
    <t>OUT</t>
  </si>
  <si>
    <t>Label</t>
  </si>
  <si>
    <t>7-6</t>
  </si>
  <si>
    <t>9-4</t>
  </si>
  <si>
    <t>10-3</t>
  </si>
  <si>
    <t>11-2</t>
  </si>
  <si>
    <t>4-9</t>
  </si>
  <si>
    <t>8-5</t>
  </si>
  <si>
    <t>3-10</t>
  </si>
  <si>
    <t>8-12</t>
  </si>
  <si>
    <t>5-8</t>
  </si>
  <si>
    <t>6-7</t>
  </si>
  <si>
    <t>Rank for May 2023</t>
  </si>
  <si>
    <t>Asanoyama</t>
  </si>
  <si>
    <t>J05</t>
  </si>
  <si>
    <t>Ms05</t>
  </si>
  <si>
    <t>heights and weights checked May 6, 2023</t>
  </si>
  <si>
    <t>Update for May 2023</t>
  </si>
  <si>
    <t>as of 6 May 2023</t>
  </si>
  <si>
    <t>Rank for July 2023</t>
  </si>
  <si>
    <t>Notes for July 2023</t>
  </si>
  <si>
    <t>Kirishima</t>
  </si>
  <si>
    <t>Changed shikona from Kiribayama to Kirishima</t>
  </si>
  <si>
    <t>J01</t>
  </si>
  <si>
    <t>Gonoyama</t>
  </si>
  <si>
    <t>Shonannoumi</t>
  </si>
  <si>
    <t>Hakuoho</t>
  </si>
  <si>
    <t>J06</t>
  </si>
  <si>
    <t>J11</t>
  </si>
  <si>
    <t>heights and weights checked July 2, 2023 -- there may not have been a weigh-in for Nagoya, so it looks like all the weights are same as last time</t>
  </si>
  <si>
    <t>Trump (reported)</t>
  </si>
  <si>
    <t>Rank for September 2023</t>
  </si>
  <si>
    <t>Notes for September 2023</t>
  </si>
  <si>
    <t>heights and weights checked 8/27/2023 -- there seems to be no change since the July banzuke</t>
  </si>
  <si>
    <t>one of the few weight measurements that changed from July - 2kg change in weight</t>
  </si>
  <si>
    <t>https://conning-my.sharepoint.com/personal/marypat_campbell_conning_com/Documents/Documents/STUMP writing/sumo/[September_2023_Grand_Sumo_Tournament_Height_And_Weight mpc update.xlsx]Documentation Information</t>
  </si>
  <si>
    <t>Update for September 2023</t>
  </si>
  <si>
    <t>as of August 27,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</si>
</sst>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1"/>
      <color theme="1"/>
      <name val="Calibri"/>
      <family val="2"/>
      <scheme val="minor"/>
    </font>
    <font>
      <sz val="10"/>
      <color theme="1"/>
      <name val="Liberation Sans"/>
    </font>
    <font>
      <b/>
      <u/>
      <sz val="11"/>
      <color theme="1"/>
      <name val="Calibri"/>
      <family val="2"/>
      <scheme val="minor"/>
    </font>
    <font>
      <u/>
      <sz val="11"/>
      <color theme="10"/>
      <name val="Calibri"/>
      <family val="2"/>
      <scheme val="minor"/>
    </font>
    <font>
      <sz val="17"/>
      <color rgb="FF0F1419"/>
      <name val="Segoe UI"/>
      <family val="2"/>
    </font>
  </fonts>
  <fills count="8">
    <fill>
      <patternFill patternType="none"/>
    </fill>
    <fill>
      <patternFill patternType="gray125"/>
    </fill>
    <fill>
      <patternFill patternType="solid">
        <fgColor theme="9" tint="0.89999084444715716"/>
        <bgColor indexed="64"/>
      </patternFill>
    </fill>
    <fill>
      <patternFill patternType="solid">
        <fgColor rgb="FFFFC000"/>
        <bgColor indexed="64"/>
      </patternFill>
    </fill>
    <fill>
      <patternFill patternType="solid">
        <fgColor theme="5"/>
        <bgColor indexed="64"/>
      </patternFill>
    </fill>
    <fill>
      <patternFill patternType="solid">
        <fgColor theme="4"/>
        <bgColor indexed="64"/>
      </patternFill>
    </fill>
    <fill>
      <patternFill patternType="solid">
        <fgColor theme="4" tint="-0.249977111117893"/>
        <bgColor indexed="64"/>
      </patternFill>
    </fill>
    <fill>
      <patternFill patternType="solid">
        <fgColor rgb="FF92D050"/>
        <bgColor indexed="64"/>
      </patternFill>
    </fill>
  </fills>
  <borders count="10">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s>
  <cellStyleXfs count="2">
    <xf numFmtId="0" fontId="0" fillId="0" borderId="0"/>
    <xf numFmtId="0" fontId="3" fillId="0" borderId="0" applyNumberFormat="0" applyFill="0" applyBorder="0" applyAlignment="0" applyProtection="0"/>
  </cellStyleXfs>
  <cellXfs count="30">
    <xf numFmtId="0" fontId="0" fillId="0" borderId="0" xfId="0"/>
    <xf numFmtId="0" fontId="1" fillId="0" borderId="0" xfId="0" applyFont="1" applyAlignment="1">
      <alignment horizontal="left" vertical="center" wrapText="1"/>
    </xf>
    <xf numFmtId="0" fontId="1" fillId="0" borderId="0" xfId="0" applyFont="1" applyAlignment="1">
      <alignment horizontal="right" vertical="center" wrapText="1"/>
    </xf>
    <xf numFmtId="0" fontId="2" fillId="0" borderId="0" xfId="0" applyFont="1"/>
    <xf numFmtId="2" fontId="0" fillId="0" borderId="0" xfId="0" applyNumberFormat="1"/>
    <xf numFmtId="2" fontId="1" fillId="0" borderId="0" xfId="0" applyNumberFormat="1" applyFont="1" applyAlignment="1">
      <alignment horizontal="right" vertical="center" wrapText="1"/>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Alignment="1">
      <alignment horizontal="right"/>
    </xf>
    <xf numFmtId="0" fontId="0" fillId="0" borderId="0" xfId="0" applyAlignment="1">
      <alignment horizontal="center"/>
    </xf>
    <xf numFmtId="0" fontId="0" fillId="0" borderId="9" xfId="0" applyBorder="1"/>
    <xf numFmtId="0" fontId="3" fillId="0" borderId="0" xfId="1"/>
    <xf numFmtId="0" fontId="4" fillId="0" borderId="0" xfId="0" applyFont="1"/>
    <xf numFmtId="0" fontId="1" fillId="2" borderId="0" xfId="0" applyFont="1" applyFill="1" applyAlignment="1">
      <alignment horizontal="right" vertical="center" wrapText="1"/>
    </xf>
    <xf numFmtId="0" fontId="0" fillId="2" borderId="0" xfId="0" applyFill="1"/>
    <xf numFmtId="16" fontId="0" fillId="0" borderId="0" xfId="0" quotePrefix="1" applyNumberFormat="1"/>
    <xf numFmtId="0" fontId="0" fillId="0" borderId="0" xfId="0" quotePrefix="1"/>
    <xf numFmtId="0" fontId="1" fillId="3" borderId="0" xfId="0" applyFont="1" applyFill="1" applyAlignment="1">
      <alignment horizontal="right" vertical="center" wrapText="1"/>
    </xf>
    <xf numFmtId="0" fontId="0" fillId="3" borderId="0" xfId="0" applyFill="1"/>
    <xf numFmtId="0" fontId="1" fillId="4" borderId="0" xfId="0" applyFont="1" applyFill="1" applyAlignment="1">
      <alignment horizontal="right" vertical="center" wrapText="1"/>
    </xf>
    <xf numFmtId="0" fontId="1" fillId="5" borderId="0" xfId="0" applyFont="1" applyFill="1" applyAlignment="1">
      <alignment horizontal="right" vertical="center" wrapText="1"/>
    </xf>
    <xf numFmtId="0" fontId="1" fillId="6" borderId="0" xfId="0" applyFont="1" applyFill="1" applyAlignment="1">
      <alignment horizontal="right" vertical="center" wrapText="1"/>
    </xf>
    <xf numFmtId="0" fontId="1" fillId="7" borderId="0" xfId="0" applyFont="1" applyFill="1" applyAlignment="1">
      <alignment horizontal="right" vertical="center" wrapText="1"/>
    </xf>
    <xf numFmtId="0" fontId="0" fillId="7" borderId="0" xfId="0" applyFill="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worksheet" Target="worksheets/sheet9.xml"/><Relationship Id="rId26" Type="http://schemas.openxmlformats.org/officeDocument/2006/relationships/theme" Target="theme/theme1.xml"/><Relationship Id="rId3" Type="http://schemas.openxmlformats.org/officeDocument/2006/relationships/chartsheet" Target="chartsheets/sheet3.xml"/><Relationship Id="rId21" Type="http://schemas.openxmlformats.org/officeDocument/2006/relationships/worksheet" Target="worksheets/sheet11.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worksheet" Target="worksheets/sheet8.xml"/><Relationship Id="rId25" Type="http://schemas.openxmlformats.org/officeDocument/2006/relationships/externalLink" Target="externalLinks/externalLink1.xml"/><Relationship Id="rId2" Type="http://schemas.openxmlformats.org/officeDocument/2006/relationships/chartsheet" Target="chartsheets/sheet2.xml"/><Relationship Id="rId16" Type="http://schemas.openxmlformats.org/officeDocument/2006/relationships/chartsheet" Target="chartsheets/sheet9.xml"/><Relationship Id="rId20" Type="http://schemas.openxmlformats.org/officeDocument/2006/relationships/worksheet" Target="worksheets/sheet10.xml"/><Relationship Id="rId29" Type="http://schemas.openxmlformats.org/officeDocument/2006/relationships/sheetMetadata" Target="metadata.xml"/><Relationship Id="rId1" Type="http://schemas.openxmlformats.org/officeDocument/2006/relationships/chartsheet" Target="chartsheets/sheet1.xml"/><Relationship Id="rId6" Type="http://schemas.openxmlformats.org/officeDocument/2006/relationships/worksheet" Target="worksheets/sheet1.xml"/><Relationship Id="rId11" Type="http://schemas.openxmlformats.org/officeDocument/2006/relationships/worksheet" Target="worksheets/sheet3.xml"/><Relationship Id="rId24" Type="http://schemas.openxmlformats.org/officeDocument/2006/relationships/worksheet" Target="worksheets/sheet12.xml"/><Relationship Id="rId5" Type="http://schemas.openxmlformats.org/officeDocument/2006/relationships/chartsheet" Target="chartsheets/sheet5.xml"/><Relationship Id="rId15" Type="http://schemas.openxmlformats.org/officeDocument/2006/relationships/worksheet" Target="worksheets/sheet7.xml"/><Relationship Id="rId23" Type="http://schemas.openxmlformats.org/officeDocument/2006/relationships/chartsheet" Target="chartsheets/sheet12.xml"/><Relationship Id="rId28" Type="http://schemas.openxmlformats.org/officeDocument/2006/relationships/sharedStrings" Target="sharedStrings.xml"/><Relationship Id="rId10" Type="http://schemas.openxmlformats.org/officeDocument/2006/relationships/worksheet" Target="worksheets/sheet2.xml"/><Relationship Id="rId19" Type="http://schemas.openxmlformats.org/officeDocument/2006/relationships/chartsheet" Target="chartsheets/sheet10.xml"/><Relationship Id="rId4" Type="http://schemas.openxmlformats.org/officeDocument/2006/relationships/chartsheet" Target="chartsheets/sheet4.xml"/><Relationship Id="rId9" Type="http://schemas.openxmlformats.org/officeDocument/2006/relationships/chartsheet" Target="chartsheets/sheet8.xml"/><Relationship Id="rId14" Type="http://schemas.openxmlformats.org/officeDocument/2006/relationships/worksheet" Target="worksheets/sheet6.xml"/><Relationship Id="rId22" Type="http://schemas.openxmlformats.org/officeDocument/2006/relationships/chartsheet" Target="chartsheets/sheet11.xml"/><Relationship Id="rId27" Type="http://schemas.openxmlformats.org/officeDocument/2006/relationships/styles" Target="style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58440380385571E-2"/>
          <c:y val="7.4949572770744155E-2"/>
          <c:w val="0.89687480419277577"/>
          <c:h val="0.85594431898299383"/>
        </c:manualLayout>
      </c:layout>
      <c:scatterChart>
        <c:scatterStyle val="lineMarker"/>
        <c:varyColors val="0"/>
        <c:ser>
          <c:idx val="0"/>
          <c:order val="0"/>
          <c:tx>
            <c:v>January 2022 Makuuchi Wrestlers</c:v>
          </c:tx>
          <c:spPr>
            <a:ln w="25400" cap="rnd">
              <a:noFill/>
              <a:round/>
            </a:ln>
            <a:effectLst/>
          </c:spPr>
          <c:marker>
            <c:symbol val="circle"/>
            <c:size val="5"/>
            <c:spPr>
              <a:solidFill>
                <a:schemeClr val="accent3"/>
              </a:solidFill>
              <a:ln w="9525">
                <a:solidFill>
                  <a:schemeClr val="accent5"/>
                </a:solidFill>
              </a:ln>
              <a:effectLst/>
            </c:spPr>
          </c:marker>
          <c:dLbls>
            <c:dLbl>
              <c:idx val="0"/>
              <c:tx>
                <c:rich>
                  <a:bodyPr/>
                  <a:lstStyle/>
                  <a:p>
                    <a:fld id="{7E5C5BFB-6AB7-47FF-9101-286B197FA6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0C-4F86-9CDA-8C26B98E7B10}"/>
                </c:ext>
              </c:extLst>
            </c:dLbl>
            <c:dLbl>
              <c:idx val="1"/>
              <c:tx>
                <c:rich>
                  <a:bodyPr/>
                  <a:lstStyle/>
                  <a:p>
                    <a:fld id="{7AD4F058-8C7A-4231-9DCD-990A8B8374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0C-4F86-9CDA-8C26B98E7B10}"/>
                </c:ext>
              </c:extLst>
            </c:dLbl>
            <c:dLbl>
              <c:idx val="2"/>
              <c:tx>
                <c:rich>
                  <a:bodyPr/>
                  <a:lstStyle/>
                  <a:p>
                    <a:fld id="{49A670E3-ECE5-4045-9612-987C0A2C2F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0C-4F86-9CDA-8C26B98E7B10}"/>
                </c:ext>
              </c:extLst>
            </c:dLbl>
            <c:dLbl>
              <c:idx val="3"/>
              <c:tx>
                <c:rich>
                  <a:bodyPr/>
                  <a:lstStyle/>
                  <a:p>
                    <a:fld id="{230D3CBC-00B1-4298-8613-42BBE77BC7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0C-4F86-9CDA-8C26B98E7B10}"/>
                </c:ext>
              </c:extLst>
            </c:dLbl>
            <c:dLbl>
              <c:idx val="4"/>
              <c:tx>
                <c:rich>
                  <a:bodyPr/>
                  <a:lstStyle/>
                  <a:p>
                    <a:fld id="{3825B459-0021-4462-8636-BDA35E12AD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0C-4F86-9CDA-8C26B98E7B10}"/>
                </c:ext>
              </c:extLst>
            </c:dLbl>
            <c:dLbl>
              <c:idx val="5"/>
              <c:tx>
                <c:rich>
                  <a:bodyPr/>
                  <a:lstStyle/>
                  <a:p>
                    <a:fld id="{7DB0D373-D1AC-4293-A205-6D3D63DBBD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0C-4F86-9CDA-8C26B98E7B10}"/>
                </c:ext>
              </c:extLst>
            </c:dLbl>
            <c:dLbl>
              <c:idx val="6"/>
              <c:tx>
                <c:rich>
                  <a:bodyPr/>
                  <a:lstStyle/>
                  <a:p>
                    <a:fld id="{051D952F-66C3-49EC-BF6E-86E4B26551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0C-4F86-9CDA-8C26B98E7B10}"/>
                </c:ext>
              </c:extLst>
            </c:dLbl>
            <c:dLbl>
              <c:idx val="7"/>
              <c:tx>
                <c:rich>
                  <a:bodyPr/>
                  <a:lstStyle/>
                  <a:p>
                    <a:fld id="{F34983ED-EAF6-420E-A89F-5DCC3F1F61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0C-4F86-9CDA-8C26B98E7B10}"/>
                </c:ext>
              </c:extLst>
            </c:dLbl>
            <c:dLbl>
              <c:idx val="8"/>
              <c:tx>
                <c:rich>
                  <a:bodyPr/>
                  <a:lstStyle/>
                  <a:p>
                    <a:fld id="{D28918D5-A3EF-45CC-9A77-476C008FE6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0C-4F86-9CDA-8C26B98E7B10}"/>
                </c:ext>
              </c:extLst>
            </c:dLbl>
            <c:dLbl>
              <c:idx val="9"/>
              <c:tx>
                <c:rich>
                  <a:bodyPr/>
                  <a:lstStyle/>
                  <a:p>
                    <a:fld id="{8F81946F-1AB8-439C-9806-D12E2A069A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0C-4F86-9CDA-8C26B98E7B10}"/>
                </c:ext>
              </c:extLst>
            </c:dLbl>
            <c:dLbl>
              <c:idx val="10"/>
              <c:tx>
                <c:rich>
                  <a:bodyPr/>
                  <a:lstStyle/>
                  <a:p>
                    <a:fld id="{08F5E1DB-F711-4623-B5DA-C474AD10E0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0C-4F86-9CDA-8C26B98E7B10}"/>
                </c:ext>
              </c:extLst>
            </c:dLbl>
            <c:dLbl>
              <c:idx val="11"/>
              <c:tx>
                <c:rich>
                  <a:bodyPr/>
                  <a:lstStyle/>
                  <a:p>
                    <a:fld id="{270309E3-BE4B-42B1-9DDC-CF0A759D7A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0C-4F86-9CDA-8C26B98E7B10}"/>
                </c:ext>
              </c:extLst>
            </c:dLbl>
            <c:dLbl>
              <c:idx val="12"/>
              <c:tx>
                <c:rich>
                  <a:bodyPr/>
                  <a:lstStyle/>
                  <a:p>
                    <a:fld id="{2B99FC2C-A711-45CF-9D1D-90A97D8E38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0C-4F86-9CDA-8C26B98E7B10}"/>
                </c:ext>
              </c:extLst>
            </c:dLbl>
            <c:dLbl>
              <c:idx val="13"/>
              <c:tx>
                <c:rich>
                  <a:bodyPr/>
                  <a:lstStyle/>
                  <a:p>
                    <a:fld id="{EFD4FE66-2FE1-4001-B4A0-B8B7C1D274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0C-4F86-9CDA-8C26B98E7B10}"/>
                </c:ext>
              </c:extLst>
            </c:dLbl>
            <c:dLbl>
              <c:idx val="14"/>
              <c:layout>
                <c:manualLayout>
                  <c:x val="2.3447824954601518E-2"/>
                  <c:y val="-1.8186739146311675E-2"/>
                </c:manualLayout>
              </c:layout>
              <c:tx>
                <c:rich>
                  <a:bodyPr/>
                  <a:lstStyle/>
                  <a:p>
                    <a:fld id="{24BE094E-C3D1-411B-BBBF-52A2A7D7A5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7E0C-4F86-9CDA-8C26B98E7B10}"/>
                </c:ext>
              </c:extLst>
            </c:dLbl>
            <c:dLbl>
              <c:idx val="15"/>
              <c:tx>
                <c:rich>
                  <a:bodyPr/>
                  <a:lstStyle/>
                  <a:p>
                    <a:fld id="{C82B5AEA-2C83-44EB-BD89-999FFFE81D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0C-4F86-9CDA-8C26B98E7B10}"/>
                </c:ext>
              </c:extLst>
            </c:dLbl>
            <c:dLbl>
              <c:idx val="16"/>
              <c:layout>
                <c:manualLayout>
                  <c:x val="-2.491331401426428E-2"/>
                  <c:y val="1.8186739146311602E-2"/>
                </c:manualLayout>
              </c:layout>
              <c:tx>
                <c:rich>
                  <a:bodyPr/>
                  <a:lstStyle/>
                  <a:p>
                    <a:fld id="{4B32AC54-48A4-48BD-8183-F371A25746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7E0C-4F86-9CDA-8C26B98E7B10}"/>
                </c:ext>
              </c:extLst>
            </c:dLbl>
            <c:dLbl>
              <c:idx val="17"/>
              <c:tx>
                <c:rich>
                  <a:bodyPr/>
                  <a:lstStyle/>
                  <a:p>
                    <a:fld id="{327549AF-CA34-4DDC-AC78-262DAA9CBC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0C-4F86-9CDA-8C26B98E7B10}"/>
                </c:ext>
              </c:extLst>
            </c:dLbl>
            <c:dLbl>
              <c:idx val="18"/>
              <c:tx>
                <c:rich>
                  <a:bodyPr/>
                  <a:lstStyle/>
                  <a:p>
                    <a:fld id="{C432D724-7A28-40F9-96C7-1564424E68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0C-4F86-9CDA-8C26B98E7B10}"/>
                </c:ext>
              </c:extLst>
            </c:dLbl>
            <c:dLbl>
              <c:idx val="19"/>
              <c:layout>
                <c:manualLayout>
                  <c:x val="6.4481518625154319E-2"/>
                  <c:y val="-1.0103743970173112E-2"/>
                </c:manualLayout>
              </c:layout>
              <c:tx>
                <c:rich>
                  <a:bodyPr/>
                  <a:lstStyle/>
                  <a:p>
                    <a:fld id="{555CD34A-741B-47E2-B4DC-369AF4AE69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7E0C-4F86-9CDA-8C26B98E7B10}"/>
                </c:ext>
              </c:extLst>
            </c:dLbl>
            <c:dLbl>
              <c:idx val="20"/>
              <c:layout>
                <c:manualLayout>
                  <c:x val="-5.8619562386503933E-2"/>
                  <c:y val="-2.2228236734380881E-2"/>
                </c:manualLayout>
              </c:layout>
              <c:tx>
                <c:rich>
                  <a:bodyPr/>
                  <a:lstStyle/>
                  <a:p>
                    <a:fld id="{73004226-58C7-433C-A012-2DDDC06C31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7E0C-4F86-9CDA-8C26B98E7B10}"/>
                </c:ext>
              </c:extLst>
            </c:dLbl>
            <c:dLbl>
              <c:idx val="21"/>
              <c:tx>
                <c:rich>
                  <a:bodyPr/>
                  <a:lstStyle/>
                  <a:p>
                    <a:fld id="{E6138E96-CB51-4A85-81E7-140F5E0CB7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0C-4F86-9CDA-8C26B98E7B10}"/>
                </c:ext>
              </c:extLst>
            </c:dLbl>
            <c:dLbl>
              <c:idx val="22"/>
              <c:tx>
                <c:rich>
                  <a:bodyPr/>
                  <a:lstStyle/>
                  <a:p>
                    <a:fld id="{791191A6-C9C2-4EE3-A05A-79833C9F4A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0C-4F86-9CDA-8C26B98E7B10}"/>
                </c:ext>
              </c:extLst>
            </c:dLbl>
            <c:dLbl>
              <c:idx val="23"/>
              <c:tx>
                <c:rich>
                  <a:bodyPr/>
                  <a:lstStyle/>
                  <a:p>
                    <a:fld id="{314B095B-5486-4E89-8B3A-B06256278C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0C-4F86-9CDA-8C26B98E7B10}"/>
                </c:ext>
              </c:extLst>
            </c:dLbl>
            <c:dLbl>
              <c:idx val="24"/>
              <c:tx>
                <c:rich>
                  <a:bodyPr/>
                  <a:lstStyle/>
                  <a:p>
                    <a:fld id="{82CE9AE5-C003-4E14-833D-9BD276F94D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0C-4F86-9CDA-8C26B98E7B10}"/>
                </c:ext>
              </c:extLst>
            </c:dLbl>
            <c:dLbl>
              <c:idx val="25"/>
              <c:layout>
                <c:manualLayout>
                  <c:x val="-1.4654890596626519E-3"/>
                  <c:y val="2.0207487940346148E-2"/>
                </c:manualLayout>
              </c:layout>
              <c:tx>
                <c:rich>
                  <a:bodyPr/>
                  <a:lstStyle/>
                  <a:p>
                    <a:fld id="{0C57C76B-71CF-4645-B9C2-8D859E52C8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E0C-4F86-9CDA-8C26B98E7B10}"/>
                </c:ext>
              </c:extLst>
            </c:dLbl>
            <c:dLbl>
              <c:idx val="26"/>
              <c:layout>
                <c:manualLayout>
                  <c:x val="8.7929343579755889E-3"/>
                  <c:y val="-2.6269734322450163E-2"/>
                </c:manualLayout>
              </c:layout>
              <c:tx>
                <c:rich>
                  <a:bodyPr/>
                  <a:lstStyle/>
                  <a:p>
                    <a:fld id="{3D2AAB1E-827A-476D-842D-5921BD8AC3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7E0C-4F86-9CDA-8C26B98E7B10}"/>
                </c:ext>
              </c:extLst>
            </c:dLbl>
            <c:dLbl>
              <c:idx val="27"/>
              <c:tx>
                <c:rich>
                  <a:bodyPr/>
                  <a:lstStyle/>
                  <a:p>
                    <a:fld id="{93666D52-6DB2-4255-9798-3B21A3B4C7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0C-4F86-9CDA-8C26B98E7B10}"/>
                </c:ext>
              </c:extLst>
            </c:dLbl>
            <c:dLbl>
              <c:idx val="28"/>
              <c:tx>
                <c:rich>
                  <a:bodyPr/>
                  <a:lstStyle/>
                  <a:p>
                    <a:fld id="{1EABC15E-871A-4D85-A514-F1C4DA7443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0C-4F86-9CDA-8C26B98E7B10}"/>
                </c:ext>
              </c:extLst>
            </c:dLbl>
            <c:dLbl>
              <c:idx val="29"/>
              <c:tx>
                <c:rich>
                  <a:bodyPr/>
                  <a:lstStyle/>
                  <a:p>
                    <a:fld id="{02F9FCFD-436F-4579-8E63-6D15D6EA24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0C-4F86-9CDA-8C26B98E7B10}"/>
                </c:ext>
              </c:extLst>
            </c:dLbl>
            <c:dLbl>
              <c:idx val="30"/>
              <c:tx>
                <c:rich>
                  <a:bodyPr/>
                  <a:lstStyle/>
                  <a:p>
                    <a:fld id="{4315613C-196B-4B8F-9D69-8C32BE3F4D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0C-4F86-9CDA-8C26B98E7B10}"/>
                </c:ext>
              </c:extLst>
            </c:dLbl>
            <c:dLbl>
              <c:idx val="31"/>
              <c:tx>
                <c:rich>
                  <a:bodyPr/>
                  <a:lstStyle/>
                  <a:p>
                    <a:fld id="{0588D40A-AEB9-4F18-BEC4-381BB110E2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0C-4F86-9CDA-8C26B98E7B10}"/>
                </c:ext>
              </c:extLst>
            </c:dLbl>
            <c:dLbl>
              <c:idx val="32"/>
              <c:tx>
                <c:rich>
                  <a:bodyPr/>
                  <a:lstStyle/>
                  <a:p>
                    <a:fld id="{7C7AD85A-B104-4976-93AA-A22CA40261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0C-4F86-9CDA-8C26B98E7B10}"/>
                </c:ext>
              </c:extLst>
            </c:dLbl>
            <c:dLbl>
              <c:idx val="33"/>
              <c:tx>
                <c:rich>
                  <a:bodyPr/>
                  <a:lstStyle/>
                  <a:p>
                    <a:fld id="{FC284C0F-AFDF-4BD8-A9DA-24211CAA44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0C-4F86-9CDA-8C26B98E7B10}"/>
                </c:ext>
              </c:extLst>
            </c:dLbl>
            <c:dLbl>
              <c:idx val="34"/>
              <c:tx>
                <c:rich>
                  <a:bodyPr/>
                  <a:lstStyle/>
                  <a:p>
                    <a:fld id="{555A6F2B-75A0-48E9-81F8-7F3C7980A7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0C-4F86-9CDA-8C26B98E7B10}"/>
                </c:ext>
              </c:extLst>
            </c:dLbl>
            <c:dLbl>
              <c:idx val="35"/>
              <c:tx>
                <c:rich>
                  <a:bodyPr/>
                  <a:lstStyle/>
                  <a:p>
                    <a:fld id="{23A9EF59-7854-486E-B737-1A49C04B74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E0C-4F86-9CDA-8C26B98E7B10}"/>
                </c:ext>
              </c:extLst>
            </c:dLbl>
            <c:dLbl>
              <c:idx val="36"/>
              <c:tx>
                <c:rich>
                  <a:bodyPr/>
                  <a:lstStyle/>
                  <a:p>
                    <a:fld id="{E619C13F-C90C-4007-9F9B-63E322484D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E0C-4F86-9CDA-8C26B98E7B10}"/>
                </c:ext>
              </c:extLst>
            </c:dLbl>
            <c:dLbl>
              <c:idx val="37"/>
              <c:tx>
                <c:rich>
                  <a:bodyPr/>
                  <a:lstStyle/>
                  <a:p>
                    <a:fld id="{B8D859DC-4CA3-4FAF-8B9F-757CD979D8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E0C-4F86-9CDA-8C26B98E7B10}"/>
                </c:ext>
              </c:extLst>
            </c:dLbl>
            <c:dLbl>
              <c:idx val="38"/>
              <c:tx>
                <c:rich>
                  <a:bodyPr/>
                  <a:lstStyle/>
                  <a:p>
                    <a:fld id="{E4DC1F59-BE98-429B-890C-B3F484F92A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E0C-4F86-9CDA-8C26B98E7B10}"/>
                </c:ext>
              </c:extLst>
            </c:dLbl>
            <c:dLbl>
              <c:idx val="39"/>
              <c:tx>
                <c:rich>
                  <a:bodyPr/>
                  <a:lstStyle/>
                  <a:p>
                    <a:fld id="{8C06ADE6-F0E6-46A5-87B2-AFF97A7041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E0C-4F86-9CDA-8C26B98E7B10}"/>
                </c:ext>
              </c:extLst>
            </c:dLbl>
            <c:dLbl>
              <c:idx val="40"/>
              <c:tx>
                <c:rich>
                  <a:bodyPr/>
                  <a:lstStyle/>
                  <a:p>
                    <a:fld id="{A64A24FA-5007-4988-A666-D95FCC84E3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E0C-4F86-9CDA-8C26B98E7B10}"/>
                </c:ext>
              </c:extLst>
            </c:dLbl>
            <c:dLbl>
              <c:idx val="41"/>
              <c:tx>
                <c:rich>
                  <a:bodyPr/>
                  <a:lstStyle/>
                  <a:p>
                    <a:fld id="{85B78EE2-017F-4619-AD86-E222B82C96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7E0C-4F86-9CDA-8C26B98E7B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2.8970757031260726E-2"/>
                  <c:y val="0.53411381971006555"/>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1800" baseline="0">
                        <a:solidFill>
                          <a:schemeClr val="accent4"/>
                        </a:solidFill>
                      </a:rPr>
                      <a:t>y = 0.1533x + 159.02</a:t>
                    </a:r>
                    <a:br>
                      <a:rPr lang="en-US" sz="1800" baseline="0">
                        <a:solidFill>
                          <a:schemeClr val="accent4"/>
                        </a:solidFill>
                      </a:rPr>
                    </a:br>
                    <a:r>
                      <a:rPr lang="en-US" sz="1800" baseline="0">
                        <a:solidFill>
                          <a:schemeClr val="accent4"/>
                        </a:solidFill>
                      </a:rPr>
                      <a:t>R² = 0.335</a:t>
                    </a:r>
                    <a:endParaRPr lang="en-US" sz="1800">
                      <a:solidFill>
                        <a:schemeClr val="accent4"/>
                      </a:solidFill>
                    </a:endParaRPr>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'Jan 2022 Data'!$E$3:$E$44</c:f>
              <c:numCache>
                <c:formatCode>General</c:formatCode>
                <c:ptCount val="42"/>
                <c:pt idx="0">
                  <c:v>194</c:v>
                </c:pt>
                <c:pt idx="1">
                  <c:v>184</c:v>
                </c:pt>
                <c:pt idx="2">
                  <c:v>182</c:v>
                </c:pt>
                <c:pt idx="3">
                  <c:v>182</c:v>
                </c:pt>
                <c:pt idx="4">
                  <c:v>206</c:v>
                </c:pt>
                <c:pt idx="5">
                  <c:v>158</c:v>
                </c:pt>
                <c:pt idx="6">
                  <c:v>183</c:v>
                </c:pt>
                <c:pt idx="7">
                  <c:v>172</c:v>
                </c:pt>
                <c:pt idx="8">
                  <c:v>154</c:v>
                </c:pt>
                <c:pt idx="9">
                  <c:v>165</c:v>
                </c:pt>
                <c:pt idx="10">
                  <c:v>132</c:v>
                </c:pt>
                <c:pt idx="11">
                  <c:v>175</c:v>
                </c:pt>
                <c:pt idx="12">
                  <c:v>155</c:v>
                </c:pt>
                <c:pt idx="13">
                  <c:v>145</c:v>
                </c:pt>
                <c:pt idx="14">
                  <c:v>148</c:v>
                </c:pt>
                <c:pt idx="15">
                  <c:v>138</c:v>
                </c:pt>
                <c:pt idx="16">
                  <c:v>164</c:v>
                </c:pt>
                <c:pt idx="17">
                  <c:v>140</c:v>
                </c:pt>
                <c:pt idx="18">
                  <c:v>168</c:v>
                </c:pt>
                <c:pt idx="19">
                  <c:v>168</c:v>
                </c:pt>
                <c:pt idx="20">
                  <c:v>168</c:v>
                </c:pt>
                <c:pt idx="21">
                  <c:v>167</c:v>
                </c:pt>
                <c:pt idx="22">
                  <c:v>174</c:v>
                </c:pt>
                <c:pt idx="23">
                  <c:v>200</c:v>
                </c:pt>
                <c:pt idx="24">
                  <c:v>167</c:v>
                </c:pt>
                <c:pt idx="25">
                  <c:v>141</c:v>
                </c:pt>
                <c:pt idx="26">
                  <c:v>140</c:v>
                </c:pt>
                <c:pt idx="27">
                  <c:v>162</c:v>
                </c:pt>
                <c:pt idx="28">
                  <c:v>189</c:v>
                </c:pt>
                <c:pt idx="29">
                  <c:v>130</c:v>
                </c:pt>
                <c:pt idx="30">
                  <c:v>146</c:v>
                </c:pt>
                <c:pt idx="31">
                  <c:v>174</c:v>
                </c:pt>
                <c:pt idx="32">
                  <c:v>148</c:v>
                </c:pt>
                <c:pt idx="33">
                  <c:v>152</c:v>
                </c:pt>
                <c:pt idx="34">
                  <c:v>176</c:v>
                </c:pt>
                <c:pt idx="35">
                  <c:v>159</c:v>
                </c:pt>
                <c:pt idx="36">
                  <c:v>147</c:v>
                </c:pt>
                <c:pt idx="37">
                  <c:v>134</c:v>
                </c:pt>
                <c:pt idx="38">
                  <c:v>163</c:v>
                </c:pt>
                <c:pt idx="39">
                  <c:v>134</c:v>
                </c:pt>
                <c:pt idx="40">
                  <c:v>118</c:v>
                </c:pt>
                <c:pt idx="41">
                  <c:v>117</c:v>
                </c:pt>
              </c:numCache>
            </c:numRef>
          </c:xVal>
          <c:yVal>
            <c:numRef>
              <c:f>'Jan 2022 Data'!$D$3:$D$44</c:f>
              <c:numCache>
                <c:formatCode>General</c:formatCode>
                <c:ptCount val="42"/>
                <c:pt idx="0">
                  <c:v>194</c:v>
                </c:pt>
                <c:pt idx="1">
                  <c:v>192</c:v>
                </c:pt>
                <c:pt idx="2">
                  <c:v>191</c:v>
                </c:pt>
                <c:pt idx="3">
                  <c:v>191</c:v>
                </c:pt>
                <c:pt idx="4">
                  <c:v>190</c:v>
                </c:pt>
                <c:pt idx="5">
                  <c:v>190</c:v>
                </c:pt>
                <c:pt idx="6">
                  <c:v>190</c:v>
                </c:pt>
                <c:pt idx="7">
                  <c:v>189</c:v>
                </c:pt>
                <c:pt idx="8">
                  <c:v>188</c:v>
                </c:pt>
                <c:pt idx="9">
                  <c:v>188</c:v>
                </c:pt>
                <c:pt idx="10">
                  <c:v>187</c:v>
                </c:pt>
                <c:pt idx="11">
                  <c:v>187</c:v>
                </c:pt>
                <c:pt idx="12">
                  <c:v>187</c:v>
                </c:pt>
                <c:pt idx="13">
                  <c:v>187</c:v>
                </c:pt>
                <c:pt idx="14">
                  <c:v>183</c:v>
                </c:pt>
                <c:pt idx="15">
                  <c:v>186</c:v>
                </c:pt>
                <c:pt idx="16">
                  <c:v>185</c:v>
                </c:pt>
                <c:pt idx="17">
                  <c:v>185</c:v>
                </c:pt>
                <c:pt idx="18">
                  <c:v>185</c:v>
                </c:pt>
                <c:pt idx="19">
                  <c:v>185</c:v>
                </c:pt>
                <c:pt idx="20">
                  <c:v>185</c:v>
                </c:pt>
                <c:pt idx="21">
                  <c:v>184</c:v>
                </c:pt>
                <c:pt idx="22">
                  <c:v>184</c:v>
                </c:pt>
                <c:pt idx="23">
                  <c:v>184</c:v>
                </c:pt>
                <c:pt idx="24">
                  <c:v>183</c:v>
                </c:pt>
                <c:pt idx="25">
                  <c:v>183</c:v>
                </c:pt>
                <c:pt idx="26">
                  <c:v>183</c:v>
                </c:pt>
                <c:pt idx="27">
                  <c:v>182</c:v>
                </c:pt>
                <c:pt idx="28">
                  <c:v>181</c:v>
                </c:pt>
                <c:pt idx="29">
                  <c:v>182</c:v>
                </c:pt>
                <c:pt idx="30">
                  <c:v>181</c:v>
                </c:pt>
                <c:pt idx="31">
                  <c:v>180</c:v>
                </c:pt>
                <c:pt idx="32">
                  <c:v>180</c:v>
                </c:pt>
                <c:pt idx="33">
                  <c:v>179</c:v>
                </c:pt>
                <c:pt idx="34">
                  <c:v>178</c:v>
                </c:pt>
                <c:pt idx="35">
                  <c:v>177</c:v>
                </c:pt>
                <c:pt idx="36">
                  <c:v>176</c:v>
                </c:pt>
                <c:pt idx="37">
                  <c:v>176</c:v>
                </c:pt>
                <c:pt idx="38">
                  <c:v>175</c:v>
                </c:pt>
                <c:pt idx="39">
                  <c:v>175</c:v>
                </c:pt>
                <c:pt idx="40">
                  <c:v>172</c:v>
                </c:pt>
                <c:pt idx="41">
                  <c:v>169</c:v>
                </c:pt>
              </c:numCache>
            </c:numRef>
          </c:yVal>
          <c:smooth val="0"/>
          <c:extLst>
            <c:ext xmlns:c15="http://schemas.microsoft.com/office/drawing/2012/chart" uri="{02D57815-91ED-43cb-92C2-25804820EDAC}">
              <c15:datalabelsRange>
                <c15:f>'Jan 2022 Data'!$A$3:$A$44</c15:f>
                <c15:dlblRangeCache>
                  <c:ptCount val="42"/>
                  <c:pt idx="0">
                    <c:v>Kaisei</c:v>
                  </c:pt>
                  <c:pt idx="1">
                    <c:v>Terunofuji</c:v>
                  </c:pt>
                  <c:pt idx="2">
                    <c:v>Tochinoshin</c:v>
                  </c:pt>
                  <c:pt idx="3">
                    <c:v>Oho</c:v>
                  </c:pt>
                  <c:pt idx="4">
                    <c:v>Ichinojo</c:v>
                  </c:pt>
                  <c:pt idx="5">
                    <c:v>Okinoumi</c:v>
                  </c:pt>
                  <c:pt idx="6">
                    <c:v>Aoiyama</c:v>
                  </c:pt>
                  <c:pt idx="7">
                    <c:v>Tamawashi</c:v>
                  </c:pt>
                  <c:pt idx="8">
                    <c:v>Abi</c:v>
                  </c:pt>
                  <c:pt idx="9">
                    <c:v>Kotonowaka</c:v>
                  </c:pt>
                  <c:pt idx="10">
                    <c:v>Hoshoryu</c:v>
                  </c:pt>
                  <c:pt idx="11">
                    <c:v>Takayasu</c:v>
                  </c:pt>
                  <c:pt idx="12">
                    <c:v>Myogiryu</c:v>
                  </c:pt>
                  <c:pt idx="13">
                    <c:v>Ichiyamamoto</c:v>
                  </c:pt>
                  <c:pt idx="14">
                    <c:v>Endo</c:v>
                  </c:pt>
                  <c:pt idx="15">
                    <c:v>Wakamotoharu</c:v>
                  </c:pt>
                  <c:pt idx="16">
                    <c:v>Takanosho</c:v>
                  </c:pt>
                  <c:pt idx="17">
                    <c:v>Kiribayama</c:v>
                  </c:pt>
                  <c:pt idx="18">
                    <c:v>Hokutofuji</c:v>
                  </c:pt>
                  <c:pt idx="19">
                    <c:v>Takarafuji</c:v>
                  </c:pt>
                  <c:pt idx="20">
                    <c:v>Hidenoumi</c:v>
                  </c:pt>
                  <c:pt idx="21">
                    <c:v>Akua</c:v>
                  </c:pt>
                  <c:pt idx="22">
                    <c:v>Yutakayama</c:v>
                  </c:pt>
                  <c:pt idx="23">
                    <c:v>Tsurugisho</c:v>
                  </c:pt>
                  <c:pt idx="24">
                    <c:v>Shodai</c:v>
                  </c:pt>
                  <c:pt idx="25">
                    <c:v>Chiyoshoma</c:v>
                  </c:pt>
                  <c:pt idx="26">
                    <c:v>Sadanoumi</c:v>
                  </c:pt>
                  <c:pt idx="27">
                    <c:v>Daieisho</c:v>
                  </c:pt>
                  <c:pt idx="28">
                    <c:v>Chiyotairyu</c:v>
                  </c:pt>
                  <c:pt idx="29">
                    <c:v>Wakatakakage</c:v>
                  </c:pt>
                  <c:pt idx="30">
                    <c:v>Chiyonokuni</c:v>
                  </c:pt>
                  <c:pt idx="31">
                    <c:v>Mitakeumi</c:v>
                  </c:pt>
                  <c:pt idx="32">
                    <c:v>Meisei</c:v>
                  </c:pt>
                  <c:pt idx="33">
                    <c:v>Shimanoumi</c:v>
                  </c:pt>
                  <c:pt idx="34">
                    <c:v>Chiyomaru</c:v>
                  </c:pt>
                  <c:pt idx="35">
                    <c:v>Onosho</c:v>
                  </c:pt>
                  <c:pt idx="36">
                    <c:v>Ura</c:v>
                  </c:pt>
                  <c:pt idx="37">
                    <c:v>Kotoeko</c:v>
                  </c:pt>
                  <c:pt idx="38">
                    <c:v>Takakeisho</c:v>
                  </c:pt>
                  <c:pt idx="39">
                    <c:v>Tobizaru</c:v>
                  </c:pt>
                  <c:pt idx="40">
                    <c:v>Ishiura</c:v>
                  </c:pt>
                  <c:pt idx="41">
                    <c:v>Terutsuyoshi</c:v>
                  </c:pt>
                </c15:dlblRangeCache>
              </c15:datalabelsRange>
            </c:ext>
            <c:ext xmlns:c16="http://schemas.microsoft.com/office/drawing/2014/chart" uri="{C3380CC4-5D6E-409C-BE32-E72D297353CC}">
              <c16:uniqueId val="{0000002A-7E0C-4F86-9CDA-8C26B98E7B10}"/>
            </c:ext>
          </c:extLst>
        </c:ser>
        <c:dLbls>
          <c:showLegendKey val="0"/>
          <c:showVal val="0"/>
          <c:showCatName val="0"/>
          <c:showSerName val="0"/>
          <c:showPercent val="0"/>
          <c:showBubbleSize val="0"/>
        </c:dLbls>
        <c:axId val="745971600"/>
        <c:axId val="745971928"/>
      </c:scatterChart>
      <c:valAx>
        <c:axId val="745971600"/>
        <c:scaling>
          <c:orientation val="minMax"/>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July 2023 Makuuchi Wrestlers </a:t>
            </a:r>
          </a:p>
        </c:rich>
      </c:tx>
      <c:layout>
        <c:manualLayout>
          <c:xMode val="edge"/>
          <c:yMode val="edge"/>
          <c:x val="0.30492390540072861"/>
          <c:y val="1.61616161616161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855586604468249E-2"/>
          <c:y val="7.8989421776823346E-2"/>
          <c:w val="0.81188907136193378"/>
          <c:h val="0.85594431898299383"/>
        </c:manualLayout>
      </c:layout>
      <c:scatterChart>
        <c:scatterStyle val="lineMarker"/>
        <c:varyColors val="0"/>
        <c:ser>
          <c:idx val="0"/>
          <c:order val="0"/>
          <c:tx>
            <c:v>Yokozuna</c:v>
          </c:tx>
          <c:spPr>
            <a:ln w="25400" cap="rnd">
              <a:noFill/>
              <a:round/>
            </a:ln>
            <a:effectLst/>
          </c:spPr>
          <c:marker>
            <c:symbol val="circle"/>
            <c:size val="20"/>
            <c:spPr>
              <a:solidFill>
                <a:schemeClr val="accent1"/>
              </a:solidFill>
              <a:ln w="31750" cmpd="tri">
                <a:solidFill>
                  <a:schemeClr val="accent6">
                    <a:lumMod val="60000"/>
                    <a:alpha val="85000"/>
                  </a:schemeClr>
                </a:solidFill>
              </a:ln>
              <a:effectLst/>
            </c:spPr>
          </c:marker>
          <c:dPt>
            <c:idx val="0"/>
            <c:marker>
              <c:symbol val="circle"/>
              <c:size val="25"/>
              <c:spPr>
                <a:solidFill>
                  <a:schemeClr val="accent1"/>
                </a:solidFill>
                <a:ln w="31750" cmpd="tri">
                  <a:solidFill>
                    <a:schemeClr val="accent6">
                      <a:lumMod val="60000"/>
                      <a:alpha val="85000"/>
                    </a:schemeClr>
                  </a:solidFill>
                </a:ln>
                <a:effectLst/>
              </c:spPr>
            </c:marker>
            <c:bubble3D val="0"/>
            <c:extLst>
              <c:ext xmlns:c16="http://schemas.microsoft.com/office/drawing/2014/chart" uri="{C3380CC4-5D6E-409C-BE32-E72D297353CC}">
                <c16:uniqueId val="{00000000-B068-400E-B7C8-831B11434695}"/>
              </c:ext>
            </c:extLst>
          </c:dPt>
          <c:dLbls>
            <c:dLbl>
              <c:idx val="0"/>
              <c:layout>
                <c:manualLayout>
                  <c:x val="-1.9065076809395308E-2"/>
                  <c:y val="-4.4444444444444446E-2"/>
                </c:manualLayout>
              </c:layout>
              <c:tx>
                <c:rich>
                  <a:bodyPr/>
                  <a:lstStyle/>
                  <a:p>
                    <a:fld id="{24441540-1A86-477C-90F8-1BA358D28D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Data'!$L$4</c:f>
              <c:numCache>
                <c:formatCode>General</c:formatCode>
                <c:ptCount val="1"/>
                <c:pt idx="0">
                  <c:v>174</c:v>
                </c:pt>
              </c:numCache>
            </c:numRef>
          </c:xVal>
          <c:yVal>
            <c:numRef>
              <c:f>'July 2023 Data'!$K$4</c:f>
              <c:numCache>
                <c:formatCode>General</c:formatCode>
                <c:ptCount val="1"/>
                <c:pt idx="0">
                  <c:v>192</c:v>
                </c:pt>
              </c:numCache>
            </c:numRef>
          </c:yVal>
          <c:smooth val="0"/>
          <c:extLst>
            <c:ext xmlns:c15="http://schemas.microsoft.com/office/drawing/2012/chart" uri="{02D57815-91ED-43cb-92C2-25804820EDAC}">
              <c15:datalabelsRange>
                <c15:f>'May 2023 Data'!$A$4</c15:f>
                <c15:dlblRangeCache>
                  <c:ptCount val="1"/>
                  <c:pt idx="0">
                    <c:v>Terunofuji</c:v>
                  </c:pt>
                </c15:dlblRangeCache>
              </c15:datalabelsRange>
            </c:ext>
            <c:ext xmlns:c16="http://schemas.microsoft.com/office/drawing/2014/chart" uri="{C3380CC4-5D6E-409C-BE32-E72D297353CC}">
              <c16:uniqueId val="{00000001-B068-400E-B7C8-831B11434695}"/>
            </c:ext>
          </c:extLst>
        </c:ser>
        <c:ser>
          <c:idx val="1"/>
          <c:order val="1"/>
          <c:tx>
            <c:v>Ozeki</c:v>
          </c:tx>
          <c:spPr>
            <a:ln w="25400" cap="rnd">
              <a:noFill/>
              <a:round/>
            </a:ln>
            <a:effectLst/>
          </c:spPr>
          <c:marker>
            <c:symbol val="circle"/>
            <c:size val="20"/>
            <c:spPr>
              <a:solidFill>
                <a:schemeClr val="accent2"/>
              </a:solidFill>
              <a:ln w="25400" cmpd="thickThin">
                <a:solidFill>
                  <a:schemeClr val="accent6">
                    <a:lumMod val="60000"/>
                  </a:schemeClr>
                </a:solidFill>
              </a:ln>
              <a:effectLst/>
            </c:spPr>
          </c:marker>
          <c:dLbls>
            <c:dLbl>
              <c:idx val="0"/>
              <c:tx>
                <c:rich>
                  <a:bodyPr/>
                  <a:lstStyle/>
                  <a:p>
                    <a:fld id="{0848FECC-A9BB-475B-A92B-C856A23BA3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068-400E-B7C8-831B11434695}"/>
                </c:ext>
              </c:extLst>
            </c:dLbl>
            <c:dLbl>
              <c:idx val="1"/>
              <c:layout>
                <c:manualLayout>
                  <c:x val="-5.8661774798139405E-3"/>
                  <c:y val="1.0101010101010027E-2"/>
                </c:manualLayout>
              </c:layout>
              <c:tx>
                <c:rich>
                  <a:bodyPr/>
                  <a:lstStyle/>
                  <a:p>
                    <a:fld id="{709739EA-E282-4584-A5CB-D88BCD455F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Data'!$L$5:$L$6</c:f>
              <c:numCache>
                <c:formatCode>General</c:formatCode>
                <c:ptCount val="2"/>
                <c:pt idx="0">
                  <c:v>165</c:v>
                </c:pt>
                <c:pt idx="1">
                  <c:v>143</c:v>
                </c:pt>
              </c:numCache>
            </c:numRef>
          </c:xVal>
          <c:yVal>
            <c:numRef>
              <c:f>'July 2023 Data'!$K$5:$K$6</c:f>
              <c:numCache>
                <c:formatCode>General</c:formatCode>
                <c:ptCount val="2"/>
                <c:pt idx="0">
                  <c:v>175</c:v>
                </c:pt>
                <c:pt idx="1">
                  <c:v>186</c:v>
                </c:pt>
              </c:numCache>
            </c:numRef>
          </c:yVal>
          <c:smooth val="0"/>
          <c:extLst>
            <c:ext xmlns:c15="http://schemas.microsoft.com/office/drawing/2012/chart" uri="{02D57815-91ED-43cb-92C2-25804820EDAC}">
              <c15:datalabelsRange>
                <c15:f>'July 2023 Data'!$A$5:$A$6</c15:f>
                <c15:dlblRangeCache>
                  <c:ptCount val="2"/>
                  <c:pt idx="0">
                    <c:v>Takakeisho</c:v>
                  </c:pt>
                  <c:pt idx="1">
                    <c:v>Kirishima</c:v>
                  </c:pt>
                </c15:dlblRangeCache>
              </c15:datalabelsRange>
            </c:ext>
            <c:ext xmlns:c16="http://schemas.microsoft.com/office/drawing/2014/chart" uri="{C3380CC4-5D6E-409C-BE32-E72D297353CC}">
              <c16:uniqueId val="{00000003-B068-400E-B7C8-831B11434695}"/>
            </c:ext>
          </c:extLst>
        </c:ser>
        <c:ser>
          <c:idx val="2"/>
          <c:order val="2"/>
          <c:tx>
            <c:v>Sekiwake</c:v>
          </c:tx>
          <c:spPr>
            <a:ln w="25400" cap="rnd">
              <a:noFill/>
              <a:round/>
            </a:ln>
            <a:effectLst/>
          </c:spPr>
          <c:marker>
            <c:symbol val="circle"/>
            <c:size val="15"/>
            <c:spPr>
              <a:solidFill>
                <a:schemeClr val="accent3"/>
              </a:solidFill>
              <a:ln w="25400" cmpd="dbl">
                <a:solidFill>
                  <a:schemeClr val="accent6">
                    <a:lumMod val="60000"/>
                  </a:schemeClr>
                </a:solidFill>
              </a:ln>
              <a:effectLst/>
            </c:spPr>
          </c:marker>
          <c:dLbls>
            <c:dLbl>
              <c:idx val="0"/>
              <c:layout>
                <c:manualLayout>
                  <c:x val="-2.1998165549302329E-2"/>
                  <c:y val="-2.2222222222222223E-2"/>
                </c:manualLayout>
              </c:layout>
              <c:tx>
                <c:rich>
                  <a:bodyPr/>
                  <a:lstStyle/>
                  <a:p>
                    <a:fld id="{464E868F-ADE6-4F66-A05C-AEA9D7DEA5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068-400E-B7C8-831B11434695}"/>
                </c:ext>
              </c:extLst>
            </c:dLbl>
            <c:dLbl>
              <c:idx val="1"/>
              <c:tx>
                <c:rich>
                  <a:bodyPr/>
                  <a:lstStyle/>
                  <a:p>
                    <a:fld id="{4AD01CA5-0569-40A9-B0FA-231B86C3FE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068-400E-B7C8-831B11434695}"/>
                </c:ext>
              </c:extLst>
            </c:dLbl>
            <c:dLbl>
              <c:idx val="2"/>
              <c:tx>
                <c:rich>
                  <a:bodyPr/>
                  <a:lstStyle/>
                  <a:p>
                    <a:fld id="{D47F6511-328F-4678-8B1C-F4993FF28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Data'!$L$7:$L$9</c:f>
              <c:numCache>
                <c:formatCode>General</c:formatCode>
                <c:ptCount val="3"/>
                <c:pt idx="0">
                  <c:v>142</c:v>
                </c:pt>
                <c:pt idx="1">
                  <c:v>147</c:v>
                </c:pt>
                <c:pt idx="2">
                  <c:v>164</c:v>
                </c:pt>
              </c:numCache>
            </c:numRef>
          </c:xVal>
          <c:yVal>
            <c:numRef>
              <c:f>'July 2023 Data'!$K$7:$K$9</c:f>
              <c:numCache>
                <c:formatCode>General</c:formatCode>
                <c:ptCount val="3"/>
                <c:pt idx="0">
                  <c:v>188</c:v>
                </c:pt>
                <c:pt idx="1">
                  <c:v>187</c:v>
                </c:pt>
                <c:pt idx="2">
                  <c:v>182</c:v>
                </c:pt>
              </c:numCache>
            </c:numRef>
          </c:yVal>
          <c:smooth val="0"/>
          <c:extLst>
            <c:ext xmlns:c15="http://schemas.microsoft.com/office/drawing/2012/chart" uri="{02D57815-91ED-43cb-92C2-25804820EDAC}">
              <c15:datalabelsRange>
                <c15:f>'July 2023 Data'!$A$7:$A$9</c15:f>
                <c15:dlblRangeCache>
                  <c:ptCount val="3"/>
                  <c:pt idx="0">
                    <c:v>Hoshoryu</c:v>
                  </c:pt>
                  <c:pt idx="1">
                    <c:v>Wakamotoharu</c:v>
                  </c:pt>
                  <c:pt idx="2">
                    <c:v>Daieisho</c:v>
                  </c:pt>
                </c15:dlblRangeCache>
              </c15:datalabelsRange>
            </c:ext>
            <c:ext xmlns:c16="http://schemas.microsoft.com/office/drawing/2014/chart" uri="{C3380CC4-5D6E-409C-BE32-E72D297353CC}">
              <c16:uniqueId val="{00000008-B068-400E-B7C8-831B11434695}"/>
            </c:ext>
          </c:extLst>
        </c:ser>
        <c:ser>
          <c:idx val="3"/>
          <c:order val="3"/>
          <c:tx>
            <c:v>Komusubi</c:v>
          </c:tx>
          <c:spPr>
            <a:ln w="25400" cap="rnd">
              <a:noFill/>
              <a:round/>
            </a:ln>
            <a:effectLst/>
          </c:spPr>
          <c:marker>
            <c:symbol val="circle"/>
            <c:size val="12"/>
            <c:spPr>
              <a:solidFill>
                <a:schemeClr val="accent4"/>
              </a:solidFill>
              <a:ln w="25400" cmpd="sng">
                <a:solidFill>
                  <a:schemeClr val="accent6">
                    <a:lumMod val="60000"/>
                  </a:schemeClr>
                </a:solidFill>
              </a:ln>
              <a:effectLst/>
            </c:spPr>
          </c:marker>
          <c:dLbls>
            <c:dLbl>
              <c:idx val="0"/>
              <c:layout>
                <c:manualLayout>
                  <c:x val="-2.9330887399070778E-3"/>
                  <c:y val="-7.4073218373934501E-17"/>
                </c:manualLayout>
              </c:layout>
              <c:tx>
                <c:rich>
                  <a:bodyPr/>
                  <a:lstStyle/>
                  <a:p>
                    <a:fld id="{77BB2918-F8B2-49A5-A5AF-E0B173460C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068-400E-B7C8-831B11434695}"/>
                </c:ext>
              </c:extLst>
            </c:dLbl>
            <c:dLbl>
              <c:idx val="1"/>
              <c:tx>
                <c:rich>
                  <a:bodyPr/>
                  <a:lstStyle/>
                  <a:p>
                    <a:fld id="{F0739105-949C-41EE-958F-A547A82B1D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Data'!$L$10:$L$11</c:f>
              <c:numCache>
                <c:formatCode>General</c:formatCode>
                <c:ptCount val="2"/>
                <c:pt idx="0">
                  <c:v>176</c:v>
                </c:pt>
                <c:pt idx="1">
                  <c:v>158</c:v>
                </c:pt>
              </c:numCache>
            </c:numRef>
          </c:xVal>
          <c:yVal>
            <c:numRef>
              <c:f>'July 2023 Data'!$K$10:$K$11</c:f>
              <c:numCache>
                <c:formatCode>General</c:formatCode>
                <c:ptCount val="2"/>
                <c:pt idx="0">
                  <c:v>189</c:v>
                </c:pt>
                <c:pt idx="1">
                  <c:v>186</c:v>
                </c:pt>
              </c:numCache>
            </c:numRef>
          </c:yVal>
          <c:smooth val="0"/>
          <c:extLst>
            <c:ext xmlns:c15="http://schemas.microsoft.com/office/drawing/2012/chart" uri="{02D57815-91ED-43cb-92C2-25804820EDAC}">
              <c15:datalabelsRange>
                <c15:f>'July 2023 Data'!$A$10:$A$11</c15:f>
                <c15:dlblRangeCache>
                  <c:ptCount val="2"/>
                  <c:pt idx="0">
                    <c:v>Kotonowaka</c:v>
                  </c:pt>
                  <c:pt idx="1">
                    <c:v>Abi</c:v>
                  </c:pt>
                </c15:dlblRangeCache>
              </c15:datalabelsRange>
            </c:ext>
            <c:ext xmlns:c16="http://schemas.microsoft.com/office/drawing/2014/chart" uri="{C3380CC4-5D6E-409C-BE32-E72D297353CC}">
              <c16:uniqueId val="{0000000C-B068-400E-B7C8-831B11434695}"/>
            </c:ext>
          </c:extLst>
        </c:ser>
        <c:ser>
          <c:idx val="4"/>
          <c:order val="4"/>
          <c:tx>
            <c:v>M01-04</c:v>
          </c:tx>
          <c:spPr>
            <a:ln w="25400" cap="rnd">
              <a:noFill/>
              <a:round/>
            </a:ln>
            <a:effectLst/>
          </c:spPr>
          <c:marker>
            <c:symbol val="circle"/>
            <c:size val="9"/>
            <c:spPr>
              <a:solidFill>
                <a:schemeClr val="accent1">
                  <a:alpha val="73000"/>
                </a:schemeClr>
              </a:solidFill>
              <a:ln w="9525">
                <a:solidFill>
                  <a:schemeClr val="tx1">
                    <a:lumMod val="50000"/>
                    <a:lumOff val="50000"/>
                  </a:schemeClr>
                </a:solidFill>
              </a:ln>
              <a:effectLst/>
            </c:spPr>
          </c:marker>
          <c:dLbls>
            <c:dLbl>
              <c:idx val="0"/>
              <c:tx>
                <c:rich>
                  <a:bodyPr/>
                  <a:lstStyle/>
                  <a:p>
                    <a:fld id="{ACD779F3-5F45-4E75-9F38-C8857E6AFB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068-400E-B7C8-831B11434695}"/>
                </c:ext>
              </c:extLst>
            </c:dLbl>
            <c:dLbl>
              <c:idx val="1"/>
              <c:tx>
                <c:rich>
                  <a:bodyPr/>
                  <a:lstStyle/>
                  <a:p>
                    <a:fld id="{40F9A0FB-9193-40E4-8C42-56E051A120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068-400E-B7C8-831B11434695}"/>
                </c:ext>
              </c:extLst>
            </c:dLbl>
            <c:dLbl>
              <c:idx val="2"/>
              <c:tx>
                <c:rich>
                  <a:bodyPr/>
                  <a:lstStyle/>
                  <a:p>
                    <a:fld id="{296F1196-1C69-4B45-B4B6-F68C9159BC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068-400E-B7C8-831B11434695}"/>
                </c:ext>
              </c:extLst>
            </c:dLbl>
            <c:dLbl>
              <c:idx val="3"/>
              <c:tx>
                <c:rich>
                  <a:bodyPr/>
                  <a:lstStyle/>
                  <a:p>
                    <a:fld id="{C41C8986-2A8A-4CA6-91E4-13A931B0A8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068-400E-B7C8-831B11434695}"/>
                </c:ext>
              </c:extLst>
            </c:dLbl>
            <c:dLbl>
              <c:idx val="4"/>
              <c:tx>
                <c:rich>
                  <a:bodyPr/>
                  <a:lstStyle/>
                  <a:p>
                    <a:fld id="{D5D73DA5-99B8-44FC-A3D0-C749C98A8E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068-400E-B7C8-831B11434695}"/>
                </c:ext>
              </c:extLst>
            </c:dLbl>
            <c:dLbl>
              <c:idx val="5"/>
              <c:tx>
                <c:rich>
                  <a:bodyPr/>
                  <a:lstStyle/>
                  <a:p>
                    <a:fld id="{0300DA55-8A98-49FF-810A-FB67BDC7DB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068-400E-B7C8-831B11434695}"/>
                </c:ext>
              </c:extLst>
            </c:dLbl>
            <c:dLbl>
              <c:idx val="6"/>
              <c:tx>
                <c:rich>
                  <a:bodyPr/>
                  <a:lstStyle/>
                  <a:p>
                    <a:fld id="{D77573BA-51C6-45D8-8A9D-1C01639401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068-400E-B7C8-831B11434695}"/>
                </c:ext>
              </c:extLst>
            </c:dLbl>
            <c:dLbl>
              <c:idx val="7"/>
              <c:layout>
                <c:manualLayout>
                  <c:x val="-4.1063242358697585E-2"/>
                  <c:y val="2.8282828282828285E-2"/>
                </c:manualLayout>
              </c:layout>
              <c:tx>
                <c:rich>
                  <a:bodyPr/>
                  <a:lstStyle/>
                  <a:p>
                    <a:fld id="{D7C2A4B3-EC35-4A4A-8FC7-71AF76B720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Data'!$L$12:$L$19</c:f>
              <c:numCache>
                <c:formatCode>General</c:formatCode>
                <c:ptCount val="8"/>
                <c:pt idx="0">
                  <c:v>135</c:v>
                </c:pt>
                <c:pt idx="1">
                  <c:v>180</c:v>
                </c:pt>
                <c:pt idx="2">
                  <c:v>161</c:v>
                </c:pt>
                <c:pt idx="3">
                  <c:v>170</c:v>
                </c:pt>
                <c:pt idx="4">
                  <c:v>116</c:v>
                </c:pt>
                <c:pt idx="5">
                  <c:v>154</c:v>
                </c:pt>
                <c:pt idx="6">
                  <c:v>143</c:v>
                </c:pt>
                <c:pt idx="7">
                  <c:v>168</c:v>
                </c:pt>
              </c:numCache>
            </c:numRef>
          </c:xVal>
          <c:yVal>
            <c:numRef>
              <c:f>'July 2023 Data'!$K$12:$K$19</c:f>
              <c:numCache>
                <c:formatCode>General</c:formatCode>
                <c:ptCount val="8"/>
                <c:pt idx="0">
                  <c:v>174</c:v>
                </c:pt>
                <c:pt idx="1">
                  <c:v>185</c:v>
                </c:pt>
                <c:pt idx="2">
                  <c:v>184</c:v>
                </c:pt>
                <c:pt idx="3">
                  <c:v>179</c:v>
                </c:pt>
                <c:pt idx="4">
                  <c:v>171</c:v>
                </c:pt>
                <c:pt idx="5">
                  <c:v>180</c:v>
                </c:pt>
                <c:pt idx="6">
                  <c:v>175</c:v>
                </c:pt>
                <c:pt idx="7">
                  <c:v>189</c:v>
                </c:pt>
              </c:numCache>
            </c:numRef>
          </c:yVal>
          <c:smooth val="0"/>
          <c:extLst>
            <c:ext xmlns:c15="http://schemas.microsoft.com/office/drawing/2012/chart" uri="{02D57815-91ED-43cb-92C2-25804820EDAC}">
              <c15:datalabelsRange>
                <c15:f>'July 2023 Data'!$A$12:$A$19</c15:f>
                <c15:dlblRangeCache>
                  <c:ptCount val="8"/>
                  <c:pt idx="0">
                    <c:v>Tobizaru</c:v>
                  </c:pt>
                  <c:pt idx="1">
                    <c:v>Nishikigi</c:v>
                  </c:pt>
                  <c:pt idx="2">
                    <c:v>Shodai</c:v>
                  </c:pt>
                  <c:pt idx="3">
                    <c:v>Mitakeumi</c:v>
                  </c:pt>
                  <c:pt idx="4">
                    <c:v>Midorifuji</c:v>
                  </c:pt>
                  <c:pt idx="5">
                    <c:v>Meisei</c:v>
                  </c:pt>
                  <c:pt idx="6">
                    <c:v>Ura</c:v>
                  </c:pt>
                  <c:pt idx="7">
                    <c:v>Asanoyama</c:v>
                  </c:pt>
                </c15:dlblRangeCache>
              </c15:datalabelsRange>
            </c:ext>
            <c:ext xmlns:c16="http://schemas.microsoft.com/office/drawing/2014/chart" uri="{C3380CC4-5D6E-409C-BE32-E72D297353CC}">
              <c16:uniqueId val="{00000015-B068-400E-B7C8-831B11434695}"/>
            </c:ext>
          </c:extLst>
        </c:ser>
        <c:ser>
          <c:idx val="5"/>
          <c:order val="5"/>
          <c:tx>
            <c:v>M05-08</c:v>
          </c:tx>
          <c:spPr>
            <a:ln w="25400" cap="rnd">
              <a:noFill/>
              <a:round/>
            </a:ln>
            <a:effectLst/>
          </c:spPr>
          <c:marker>
            <c:symbol val="circle"/>
            <c:size val="8"/>
            <c:spPr>
              <a:solidFill>
                <a:schemeClr val="accent2">
                  <a:alpha val="28000"/>
                </a:schemeClr>
              </a:solidFill>
              <a:ln w="9525">
                <a:solidFill>
                  <a:schemeClr val="tx1">
                    <a:lumMod val="50000"/>
                    <a:lumOff val="50000"/>
                  </a:schemeClr>
                </a:solidFill>
              </a:ln>
              <a:effectLst/>
            </c:spPr>
          </c:marker>
          <c:dLbls>
            <c:dLbl>
              <c:idx val="0"/>
              <c:tx>
                <c:rich>
                  <a:bodyPr/>
                  <a:lstStyle/>
                  <a:p>
                    <a:fld id="{66C916D7-C582-470B-A423-F1CA97903F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B068-400E-B7C8-831B11434695}"/>
                </c:ext>
              </c:extLst>
            </c:dLbl>
            <c:dLbl>
              <c:idx val="1"/>
              <c:tx>
                <c:rich>
                  <a:bodyPr/>
                  <a:lstStyle/>
                  <a:p>
                    <a:fld id="{A7EECF15-645E-4D0B-A841-7E4F519EF3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B068-400E-B7C8-831B11434695}"/>
                </c:ext>
              </c:extLst>
            </c:dLbl>
            <c:dLbl>
              <c:idx val="2"/>
              <c:tx>
                <c:rich>
                  <a:bodyPr/>
                  <a:lstStyle/>
                  <a:p>
                    <a:fld id="{B4EAF6B1-88A1-43B5-A9FF-90ECD51D20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B068-400E-B7C8-831B11434695}"/>
                </c:ext>
              </c:extLst>
            </c:dLbl>
            <c:dLbl>
              <c:idx val="3"/>
              <c:layout>
                <c:manualLayout>
                  <c:x val="-1.0265810589674504E-2"/>
                  <c:y val="-1.0101010101010175E-2"/>
                </c:manualLayout>
              </c:layout>
              <c:tx>
                <c:rich>
                  <a:bodyPr/>
                  <a:lstStyle/>
                  <a:p>
                    <a:fld id="{AC481D0E-D6AA-4C62-A621-8CEAE52EED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B068-400E-B7C8-831B11434695}"/>
                </c:ext>
              </c:extLst>
            </c:dLbl>
            <c:dLbl>
              <c:idx val="4"/>
              <c:tx>
                <c:rich>
                  <a:bodyPr/>
                  <a:lstStyle/>
                  <a:p>
                    <a:fld id="{C1144173-0DFC-4EBA-84D0-FC695C7230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B068-400E-B7C8-831B11434695}"/>
                </c:ext>
              </c:extLst>
            </c:dLbl>
            <c:dLbl>
              <c:idx val="5"/>
              <c:layout>
                <c:manualLayout>
                  <c:x val="-2.7864343029116216E-2"/>
                  <c:y val="2.8282828282828285E-2"/>
                </c:manualLayout>
              </c:layout>
              <c:tx>
                <c:rich>
                  <a:bodyPr/>
                  <a:lstStyle/>
                  <a:p>
                    <a:fld id="{DBFD2613-11FE-49B0-9230-9A09896672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B068-400E-B7C8-831B11434695}"/>
                </c:ext>
              </c:extLst>
            </c:dLbl>
            <c:dLbl>
              <c:idx val="6"/>
              <c:layout>
                <c:manualLayout>
                  <c:x val="-4.3996331098604499E-2"/>
                  <c:y val="1.8181818181818108E-2"/>
                </c:manualLayout>
              </c:layout>
              <c:tx>
                <c:rich>
                  <a:bodyPr/>
                  <a:lstStyle/>
                  <a:p>
                    <a:fld id="{E082C001-5124-4754-94C2-F6986D70A4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B068-400E-B7C8-831B11434695}"/>
                </c:ext>
              </c:extLst>
            </c:dLbl>
            <c:dLbl>
              <c:idx val="7"/>
              <c:tx>
                <c:rich>
                  <a:bodyPr/>
                  <a:lstStyle/>
                  <a:p>
                    <a:fld id="{F6CA69EE-73A8-4618-9A34-6EDC90AD52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Data'!$L$20:$L$27</c:f>
              <c:numCache>
                <c:formatCode>General</c:formatCode>
                <c:ptCount val="8"/>
                <c:pt idx="0">
                  <c:v>165</c:v>
                </c:pt>
                <c:pt idx="1">
                  <c:v>135</c:v>
                </c:pt>
                <c:pt idx="2">
                  <c:v>185</c:v>
                </c:pt>
                <c:pt idx="3">
                  <c:v>179</c:v>
                </c:pt>
                <c:pt idx="4">
                  <c:v>183</c:v>
                </c:pt>
                <c:pt idx="5">
                  <c:v>174</c:v>
                </c:pt>
                <c:pt idx="6">
                  <c:v>149</c:v>
                </c:pt>
                <c:pt idx="7">
                  <c:v>142</c:v>
                </c:pt>
              </c:numCache>
            </c:numRef>
          </c:xVal>
          <c:yVal>
            <c:numRef>
              <c:f>'July 2023 Data'!$K$20:$K$27</c:f>
              <c:numCache>
                <c:formatCode>General</c:formatCode>
                <c:ptCount val="8"/>
                <c:pt idx="0">
                  <c:v>177</c:v>
                </c:pt>
                <c:pt idx="1">
                  <c:v>177</c:v>
                </c:pt>
                <c:pt idx="2">
                  <c:v>204</c:v>
                </c:pt>
                <c:pt idx="3">
                  <c:v>190</c:v>
                </c:pt>
                <c:pt idx="4">
                  <c:v>188</c:v>
                </c:pt>
                <c:pt idx="5">
                  <c:v>189</c:v>
                </c:pt>
                <c:pt idx="6">
                  <c:v>184</c:v>
                </c:pt>
                <c:pt idx="7">
                  <c:v>182</c:v>
                </c:pt>
              </c:numCache>
            </c:numRef>
          </c:yVal>
          <c:smooth val="0"/>
          <c:extLst>
            <c:ext xmlns:c15="http://schemas.microsoft.com/office/drawing/2012/chart" uri="{02D57815-91ED-43cb-92C2-25804820EDAC}">
              <c15:datalabelsRange>
                <c15:f>'July 2023 Data'!$A$20:$A$27</c15:f>
                <c15:dlblRangeCache>
                  <c:ptCount val="8"/>
                  <c:pt idx="0">
                    <c:v>Onosho</c:v>
                  </c:pt>
                  <c:pt idx="1">
                    <c:v>Hiradoumi</c:v>
                  </c:pt>
                  <c:pt idx="2">
                    <c:v>Hokuseiho</c:v>
                  </c:pt>
                  <c:pt idx="3">
                    <c:v>Oho</c:v>
                  </c:pt>
                  <c:pt idx="4">
                    <c:v>Takayasu</c:v>
                  </c:pt>
                  <c:pt idx="5">
                    <c:v>Tamawashi</c:v>
                  </c:pt>
                  <c:pt idx="6">
                    <c:v>Nishikifuji</c:v>
                  </c:pt>
                  <c:pt idx="7">
                    <c:v>Sadanoumi</c:v>
                  </c:pt>
                </c15:dlblRangeCache>
              </c15:datalabelsRange>
            </c:ext>
            <c:ext xmlns:c16="http://schemas.microsoft.com/office/drawing/2014/chart" uri="{C3380CC4-5D6E-409C-BE32-E72D297353CC}">
              <c16:uniqueId val="{00000033-B068-400E-B7C8-831B11434695}"/>
            </c:ext>
          </c:extLst>
        </c:ser>
        <c:ser>
          <c:idx val="6"/>
          <c:order val="6"/>
          <c:tx>
            <c:v>M09-12</c:v>
          </c:tx>
          <c:spPr>
            <a:ln w="25400" cap="rnd">
              <a:noFill/>
              <a:round/>
            </a:ln>
            <a:effectLst/>
          </c:spPr>
          <c:marker>
            <c:symbol val="circle"/>
            <c:size val="5"/>
            <c:spPr>
              <a:solidFill>
                <a:schemeClr val="accent2">
                  <a:alpha val="52000"/>
                </a:schemeClr>
              </a:solidFill>
              <a:ln w="9525">
                <a:solidFill>
                  <a:schemeClr val="accent1">
                    <a:lumMod val="60000"/>
                  </a:schemeClr>
                </a:solidFill>
              </a:ln>
              <a:effectLst/>
            </c:spPr>
          </c:marker>
          <c:dLbls>
            <c:dLbl>
              <c:idx val="0"/>
              <c:layout>
                <c:manualLayout>
                  <c:x val="-3.373052050893021E-2"/>
                  <c:y val="2.424242424242417E-2"/>
                </c:manualLayout>
              </c:layout>
              <c:tx>
                <c:rich>
                  <a:bodyPr/>
                  <a:lstStyle/>
                  <a:p>
                    <a:fld id="{16521915-1692-49A3-91C0-8E7EC997DB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B068-400E-B7C8-831B11434695}"/>
                </c:ext>
              </c:extLst>
            </c:dLbl>
            <c:dLbl>
              <c:idx val="1"/>
              <c:tx>
                <c:rich>
                  <a:bodyPr/>
                  <a:lstStyle/>
                  <a:p>
                    <a:fld id="{ADA3DCE6-7AEE-430C-8F70-01FAC39768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B068-400E-B7C8-831B11434695}"/>
                </c:ext>
              </c:extLst>
            </c:dLbl>
            <c:dLbl>
              <c:idx val="2"/>
              <c:tx>
                <c:rich>
                  <a:bodyPr/>
                  <a:lstStyle/>
                  <a:p>
                    <a:fld id="{74438FE5-2682-4CAA-9772-BFE4C72A22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B068-400E-B7C8-831B11434695}"/>
                </c:ext>
              </c:extLst>
            </c:dLbl>
            <c:dLbl>
              <c:idx val="3"/>
              <c:tx>
                <c:rich>
                  <a:bodyPr/>
                  <a:lstStyle/>
                  <a:p>
                    <a:fld id="{DA992E48-75F3-4A24-97F3-964DFA7169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B068-400E-B7C8-831B11434695}"/>
                </c:ext>
              </c:extLst>
            </c:dLbl>
            <c:dLbl>
              <c:idx val="4"/>
              <c:tx>
                <c:rich>
                  <a:bodyPr/>
                  <a:lstStyle/>
                  <a:p>
                    <a:fld id="{CB7921A9-0664-40E0-B293-0BF5F7F9E4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B068-400E-B7C8-831B11434695}"/>
                </c:ext>
              </c:extLst>
            </c:dLbl>
            <c:dLbl>
              <c:idx val="5"/>
              <c:layout>
                <c:manualLayout>
                  <c:x val="-2.9330887399069704E-2"/>
                  <c:y val="2.8282828282828285E-2"/>
                </c:manualLayout>
              </c:layout>
              <c:tx>
                <c:rich>
                  <a:bodyPr/>
                  <a:lstStyle/>
                  <a:p>
                    <a:fld id="{774578B2-7581-4962-9D90-5ECA959AEB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2-B068-400E-B7C8-831B11434695}"/>
                </c:ext>
              </c:extLst>
            </c:dLbl>
            <c:dLbl>
              <c:idx val="6"/>
              <c:layout>
                <c:manualLayout>
                  <c:x val="-2.4931254289209274E-2"/>
                  <c:y val="2.2222222222222223E-2"/>
                </c:manualLayout>
              </c:layout>
              <c:tx>
                <c:rich>
                  <a:bodyPr/>
                  <a:lstStyle/>
                  <a:p>
                    <a:fld id="{59DBD1B1-975B-40B5-AF93-997D8DD6E5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B068-400E-B7C8-831B11434695}"/>
                </c:ext>
              </c:extLst>
            </c:dLbl>
            <c:dLbl>
              <c:idx val="7"/>
              <c:tx>
                <c:rich>
                  <a:bodyPr/>
                  <a:lstStyle/>
                  <a:p>
                    <a:fld id="{D0BBC3CB-F53B-458B-A3C2-0D76C9F838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Data'!$L$28:$L$35</c:f>
              <c:numCache>
                <c:formatCode>General</c:formatCode>
                <c:ptCount val="8"/>
                <c:pt idx="0">
                  <c:v>158</c:v>
                </c:pt>
                <c:pt idx="1">
                  <c:v>170</c:v>
                </c:pt>
                <c:pt idx="2">
                  <c:v>181</c:v>
                </c:pt>
                <c:pt idx="3">
                  <c:v>156</c:v>
                </c:pt>
                <c:pt idx="4">
                  <c:v>133</c:v>
                </c:pt>
                <c:pt idx="5">
                  <c:v>194</c:v>
                </c:pt>
                <c:pt idx="6">
                  <c:v>132</c:v>
                </c:pt>
                <c:pt idx="7">
                  <c:v>137</c:v>
                </c:pt>
              </c:numCache>
            </c:numRef>
          </c:xVal>
          <c:yVal>
            <c:numRef>
              <c:f>'July 2023 Data'!$K$28:$K$35</c:f>
              <c:numCache>
                <c:formatCode>General</c:formatCode>
                <c:ptCount val="8"/>
                <c:pt idx="0">
                  <c:v>184</c:v>
                </c:pt>
                <c:pt idx="1">
                  <c:v>183</c:v>
                </c:pt>
                <c:pt idx="2">
                  <c:v>192</c:v>
                </c:pt>
                <c:pt idx="3">
                  <c:v>188</c:v>
                </c:pt>
                <c:pt idx="4">
                  <c:v>176</c:v>
                </c:pt>
                <c:pt idx="5">
                  <c:v>185</c:v>
                </c:pt>
                <c:pt idx="6">
                  <c:v>182</c:v>
                </c:pt>
                <c:pt idx="7">
                  <c:v>184</c:v>
                </c:pt>
              </c:numCache>
            </c:numRef>
          </c:yVal>
          <c:smooth val="0"/>
          <c:extLst>
            <c:ext xmlns:c15="http://schemas.microsoft.com/office/drawing/2012/chart" uri="{02D57815-91ED-43cb-92C2-25804820EDAC}">
              <c15:datalabelsRange>
                <c15:f>'July 2023 Data'!$A$28:$A$35</c15:f>
                <c15:dlblRangeCache>
                  <c:ptCount val="8"/>
                  <c:pt idx="0">
                    <c:v>Hokutofuji</c:v>
                  </c:pt>
                  <c:pt idx="1">
                    <c:v>Takanosho</c:v>
                  </c:pt>
                  <c:pt idx="2">
                    <c:v>Kinbozan</c:v>
                  </c:pt>
                  <c:pt idx="3">
                    <c:v>Myogiryu</c:v>
                  </c:pt>
                  <c:pt idx="4">
                    <c:v>Kotoeko</c:v>
                  </c:pt>
                  <c:pt idx="5">
                    <c:v>Tsurugisho</c:v>
                  </c:pt>
                  <c:pt idx="6">
                    <c:v>Wakatakakage</c:v>
                  </c:pt>
                  <c:pt idx="7">
                    <c:v>Chiyoshoma</c:v>
                  </c:pt>
                </c15:dlblRangeCache>
              </c15:datalabelsRange>
            </c:ext>
            <c:ext xmlns:c16="http://schemas.microsoft.com/office/drawing/2014/chart" uri="{C3380CC4-5D6E-409C-BE32-E72D297353CC}">
              <c16:uniqueId val="{00000034-B068-400E-B7C8-831B11434695}"/>
            </c:ext>
          </c:extLst>
        </c:ser>
        <c:ser>
          <c:idx val="7"/>
          <c:order val="7"/>
          <c:tx>
            <c:v>M13-17</c:v>
          </c:tx>
          <c:spPr>
            <a:ln w="25400" cap="rnd">
              <a:noFill/>
              <a:round/>
            </a:ln>
            <a:effectLst/>
          </c:spPr>
          <c:marker>
            <c:symbol val="circle"/>
            <c:size val="4"/>
            <c:spPr>
              <a:solidFill>
                <a:schemeClr val="tx2">
                  <a:lumMod val="40000"/>
                  <a:lumOff val="60000"/>
                  <a:alpha val="48000"/>
                </a:schemeClr>
              </a:solidFill>
              <a:ln w="9525">
                <a:solidFill>
                  <a:schemeClr val="bg2">
                    <a:lumMod val="75000"/>
                  </a:schemeClr>
                </a:solidFill>
              </a:ln>
              <a:effectLst/>
            </c:spPr>
          </c:marker>
          <c:dLbls>
            <c:dLbl>
              <c:idx val="0"/>
              <c:tx>
                <c:rich>
                  <a:bodyPr/>
                  <a:lstStyle/>
                  <a:p>
                    <a:fld id="{2CC1AC5E-E465-4EAD-9800-45679EB25E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068-400E-B7C8-831B11434695}"/>
                </c:ext>
              </c:extLst>
            </c:dLbl>
            <c:dLbl>
              <c:idx val="1"/>
              <c:tx>
                <c:rich>
                  <a:bodyPr/>
                  <a:lstStyle/>
                  <a:p>
                    <a:fld id="{49080FDA-5E02-46E8-A73C-C8410F7772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068-400E-B7C8-831B11434695}"/>
                </c:ext>
              </c:extLst>
            </c:dLbl>
            <c:dLbl>
              <c:idx val="2"/>
              <c:layout>
                <c:manualLayout>
                  <c:x val="0"/>
                  <c:y val="-3.0303030303030304E-2"/>
                </c:manualLayout>
              </c:layout>
              <c:tx>
                <c:rich>
                  <a:bodyPr/>
                  <a:lstStyle/>
                  <a:p>
                    <a:fld id="{7070000D-FB07-49DC-A4EB-BA23D1AB78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068-400E-B7C8-831B11434695}"/>
                </c:ext>
              </c:extLst>
            </c:dLbl>
            <c:dLbl>
              <c:idx val="3"/>
              <c:tx>
                <c:rich>
                  <a:bodyPr/>
                  <a:lstStyle/>
                  <a:p>
                    <a:fld id="{102F6ECD-FC0A-40C7-86D8-AEBE3D15B2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B068-400E-B7C8-831B11434695}"/>
                </c:ext>
              </c:extLst>
            </c:dLbl>
            <c:dLbl>
              <c:idx val="4"/>
              <c:layout>
                <c:manualLayout>
                  <c:x val="-3.0797431769023241E-2"/>
                  <c:y val="-2.2222222222222223E-2"/>
                </c:manualLayout>
              </c:layout>
              <c:tx>
                <c:rich>
                  <a:bodyPr/>
                  <a:lstStyle/>
                  <a:p>
                    <a:fld id="{F5CF3CD1-C653-4C89-A0B3-5B57887F8C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B068-400E-B7C8-831B11434695}"/>
                </c:ext>
              </c:extLst>
            </c:dLbl>
            <c:dLbl>
              <c:idx val="5"/>
              <c:tx>
                <c:rich>
                  <a:bodyPr/>
                  <a:lstStyle/>
                  <a:p>
                    <a:fld id="{DC67DD32-7E13-4EDA-B453-593C1E74AC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068-400E-B7C8-831B11434695}"/>
                </c:ext>
              </c:extLst>
            </c:dLbl>
            <c:dLbl>
              <c:idx val="6"/>
              <c:layout>
                <c:manualLayout>
                  <c:x val="-1.4665443699535389E-3"/>
                  <c:y val="-6.0606060606061343E-3"/>
                </c:manualLayout>
              </c:layout>
              <c:tx>
                <c:rich>
                  <a:bodyPr/>
                  <a:lstStyle/>
                  <a:p>
                    <a:fld id="{9B8A01C7-4F26-4505-B70C-37ED519552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B068-400E-B7C8-831B11434695}"/>
                </c:ext>
              </c:extLst>
            </c:dLbl>
            <c:dLbl>
              <c:idx val="7"/>
              <c:tx>
                <c:rich>
                  <a:bodyPr/>
                  <a:lstStyle/>
                  <a:p>
                    <a:fld id="{72A2F14F-1C31-46FB-84F4-DF6E676194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068-400E-B7C8-831B11434695}"/>
                </c:ext>
              </c:extLst>
            </c:dLbl>
            <c:dLbl>
              <c:idx val="8"/>
              <c:tx>
                <c:rich>
                  <a:bodyPr/>
                  <a:lstStyle/>
                  <a:p>
                    <a:fld id="{0013F65F-81E9-444A-9A7E-9A102BF984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068-400E-B7C8-831B11434695}"/>
                </c:ext>
              </c:extLst>
            </c:dLbl>
            <c:dLbl>
              <c:idx val="9"/>
              <c:layout>
                <c:manualLayout>
                  <c:x val="-5.8661774798139405E-3"/>
                  <c:y val="1.2121212121212196E-2"/>
                </c:manualLayout>
              </c:layout>
              <c:tx>
                <c:rich>
                  <a:bodyPr/>
                  <a:lstStyle/>
                  <a:p>
                    <a:fld id="{C1C8D239-9981-446F-AEB3-4DF3A30416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5-B068-400E-B7C8-831B114346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Data'!$L$36:$L$45</c:f>
              <c:numCache>
                <c:formatCode>General</c:formatCode>
                <c:ptCount val="10"/>
                <c:pt idx="0">
                  <c:v>161</c:v>
                </c:pt>
                <c:pt idx="1">
                  <c:v>154</c:v>
                </c:pt>
                <c:pt idx="2">
                  <c:v>196</c:v>
                </c:pt>
                <c:pt idx="3">
                  <c:v>186</c:v>
                </c:pt>
                <c:pt idx="4">
                  <c:v>155</c:v>
                </c:pt>
                <c:pt idx="5">
                  <c:v>171</c:v>
                </c:pt>
                <c:pt idx="6">
                  <c:v>150</c:v>
                </c:pt>
                <c:pt idx="7">
                  <c:v>171</c:v>
                </c:pt>
                <c:pt idx="8">
                  <c:v>186</c:v>
                </c:pt>
                <c:pt idx="9">
                  <c:v>162</c:v>
                </c:pt>
              </c:numCache>
            </c:numRef>
          </c:xVal>
          <c:yVal>
            <c:numRef>
              <c:f>'July 2023 Data'!$K$36:$K$45</c:f>
              <c:numCache>
                <c:formatCode>General</c:formatCode>
                <c:ptCount val="10"/>
                <c:pt idx="0">
                  <c:v>191</c:v>
                </c:pt>
                <c:pt idx="1">
                  <c:v>177</c:v>
                </c:pt>
                <c:pt idx="2">
                  <c:v>185</c:v>
                </c:pt>
                <c:pt idx="3">
                  <c:v>193</c:v>
                </c:pt>
                <c:pt idx="4">
                  <c:v>188</c:v>
                </c:pt>
                <c:pt idx="5">
                  <c:v>186</c:v>
                </c:pt>
                <c:pt idx="6">
                  <c:v>184</c:v>
                </c:pt>
                <c:pt idx="7">
                  <c:v>171</c:v>
                </c:pt>
                <c:pt idx="8">
                  <c:v>191</c:v>
                </c:pt>
                <c:pt idx="9">
                  <c:v>181</c:v>
                </c:pt>
              </c:numCache>
            </c:numRef>
          </c:yVal>
          <c:smooth val="0"/>
          <c:extLst>
            <c:ext xmlns:c15="http://schemas.microsoft.com/office/drawing/2012/chart" uri="{02D57815-91ED-43cb-92C2-25804820EDAC}">
              <c15:datalabelsRange>
                <c15:f>'July 2023 Data'!$A$36:$A$45</c15:f>
                <c15:dlblRangeCache>
                  <c:ptCount val="10"/>
                  <c:pt idx="0">
                    <c:v>Kotoshoho</c:v>
                  </c:pt>
                  <c:pt idx="1">
                    <c:v>Gonoyama</c:v>
                  </c:pt>
                  <c:pt idx="2">
                    <c:v>Daishoho</c:v>
                  </c:pt>
                  <c:pt idx="3">
                    <c:v>Shonannoumi</c:v>
                  </c:pt>
                  <c:pt idx="4">
                    <c:v>Ryuden</c:v>
                  </c:pt>
                  <c:pt idx="5">
                    <c:v>Takarafuji</c:v>
                  </c:pt>
                  <c:pt idx="6">
                    <c:v>Endo</c:v>
                  </c:pt>
                  <c:pt idx="7">
                    <c:v>Bushozan</c:v>
                  </c:pt>
                  <c:pt idx="8">
                    <c:v>Aoiyama</c:v>
                  </c:pt>
                  <c:pt idx="9">
                    <c:v>Hakuoho</c:v>
                  </c:pt>
                </c15:dlblRangeCache>
              </c15:datalabelsRange>
            </c:ext>
            <c:ext xmlns:c16="http://schemas.microsoft.com/office/drawing/2014/chart" uri="{C3380CC4-5D6E-409C-BE32-E72D297353CC}">
              <c16:uniqueId val="{00000031-B068-400E-B7C8-831B11434695}"/>
            </c:ext>
          </c:extLst>
        </c:ser>
        <c:dLbls>
          <c:showLegendKey val="0"/>
          <c:showVal val="0"/>
          <c:showCatName val="0"/>
          <c:showSerName val="0"/>
          <c:showPercent val="0"/>
          <c:showBubbleSize val="0"/>
        </c:dLbls>
        <c:axId val="745971600"/>
        <c:axId val="745971928"/>
      </c:scatterChart>
      <c:valAx>
        <c:axId val="745971600"/>
        <c:scaling>
          <c:orientation val="minMax"/>
          <c:max val="205"/>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7.6658699212096157E-2"/>
          <c:h val="0.272729181579575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2023 Makuuchi Wrestlers </a:t>
            </a:r>
          </a:p>
        </c:rich>
      </c:tx>
      <c:layout>
        <c:manualLayout>
          <c:xMode val="edge"/>
          <c:yMode val="edge"/>
          <c:x val="0.30492390540072861"/>
          <c:y val="1.61616161616161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577766864018889"/>
          <c:y val="8.3029825817227398E-2"/>
          <c:w val="0.78402478205938153"/>
          <c:h val="0.85594431898299383"/>
        </c:manualLayout>
      </c:layout>
      <c:scatterChart>
        <c:scatterStyle val="lineMarker"/>
        <c:varyColors val="0"/>
        <c:ser>
          <c:idx val="0"/>
          <c:order val="0"/>
          <c:tx>
            <c:v>Yokozuna</c:v>
          </c:tx>
          <c:spPr>
            <a:ln w="25400" cap="rnd">
              <a:noFill/>
              <a:round/>
            </a:ln>
            <a:effectLst/>
          </c:spPr>
          <c:marker>
            <c:symbol val="circle"/>
            <c:size val="20"/>
            <c:spPr>
              <a:solidFill>
                <a:schemeClr val="accent1"/>
              </a:solidFill>
              <a:ln w="31750" cmpd="tri">
                <a:solidFill>
                  <a:schemeClr val="accent6">
                    <a:lumMod val="60000"/>
                    <a:alpha val="85000"/>
                  </a:schemeClr>
                </a:solidFill>
              </a:ln>
              <a:effectLst/>
            </c:spPr>
          </c:marker>
          <c:dPt>
            <c:idx val="0"/>
            <c:marker>
              <c:symbol val="circle"/>
              <c:size val="25"/>
              <c:spPr>
                <a:solidFill>
                  <a:schemeClr val="accent1"/>
                </a:solidFill>
                <a:ln w="31750" cmpd="tri">
                  <a:solidFill>
                    <a:schemeClr val="accent6">
                      <a:lumMod val="60000"/>
                      <a:alpha val="85000"/>
                    </a:schemeClr>
                  </a:solidFill>
                </a:ln>
                <a:effectLst/>
              </c:spPr>
            </c:marker>
            <c:bubble3D val="0"/>
            <c:extLst>
              <c:ext xmlns:c16="http://schemas.microsoft.com/office/drawing/2014/chart" uri="{C3380CC4-5D6E-409C-BE32-E72D297353CC}">
                <c16:uniqueId val="{00000000-BD1C-4FAB-9C49-2F8476A5A79D}"/>
              </c:ext>
            </c:extLst>
          </c:dPt>
          <c:dLbls>
            <c:dLbl>
              <c:idx val="0"/>
              <c:layout>
                <c:manualLayout>
                  <c:x val="-1.9065076809395308E-2"/>
                  <c:y val="-4.4444444444444446E-2"/>
                </c:manualLayout>
              </c:layout>
              <c:tx>
                <c:rich>
                  <a:bodyPr/>
                  <a:lstStyle/>
                  <a:p>
                    <a:fld id="{26FFA9C5-DA2F-4CA2-984B-E18208E38C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Data'!$L$4</c:f>
              <c:numCache>
                <c:formatCode>General</c:formatCode>
                <c:ptCount val="1"/>
                <c:pt idx="0">
                  <c:v>174</c:v>
                </c:pt>
              </c:numCache>
            </c:numRef>
          </c:xVal>
          <c:yVal>
            <c:numRef>
              <c:f>'July 2023 Data'!$K$4</c:f>
              <c:numCache>
                <c:formatCode>General</c:formatCode>
                <c:ptCount val="1"/>
                <c:pt idx="0">
                  <c:v>192</c:v>
                </c:pt>
              </c:numCache>
            </c:numRef>
          </c:yVal>
          <c:smooth val="0"/>
          <c:extLst>
            <c:ext xmlns:c15="http://schemas.microsoft.com/office/drawing/2012/chart" uri="{02D57815-91ED-43cb-92C2-25804820EDAC}">
              <c15:datalabelsRange>
                <c15:f>'May 2023 Data'!$A$4</c15:f>
                <c15:dlblRangeCache>
                  <c:ptCount val="1"/>
                  <c:pt idx="0">
                    <c:v>Terunofuji</c:v>
                  </c:pt>
                </c15:dlblRangeCache>
              </c15:datalabelsRange>
            </c:ext>
            <c:ext xmlns:c16="http://schemas.microsoft.com/office/drawing/2014/chart" uri="{C3380CC4-5D6E-409C-BE32-E72D297353CC}">
              <c16:uniqueId val="{00000001-BD1C-4FAB-9C49-2F8476A5A79D}"/>
            </c:ext>
          </c:extLst>
        </c:ser>
        <c:ser>
          <c:idx val="1"/>
          <c:order val="1"/>
          <c:tx>
            <c:v>Ozeki</c:v>
          </c:tx>
          <c:spPr>
            <a:ln w="25400" cap="rnd">
              <a:noFill/>
              <a:round/>
            </a:ln>
            <a:effectLst/>
          </c:spPr>
          <c:marker>
            <c:symbol val="circle"/>
            <c:size val="20"/>
            <c:spPr>
              <a:solidFill>
                <a:schemeClr val="accent2"/>
              </a:solidFill>
              <a:ln w="25400" cmpd="thickThin">
                <a:solidFill>
                  <a:schemeClr val="accent6">
                    <a:lumMod val="60000"/>
                  </a:schemeClr>
                </a:solidFill>
              </a:ln>
              <a:effectLst/>
            </c:spPr>
          </c:marker>
          <c:dLbls>
            <c:dLbl>
              <c:idx val="0"/>
              <c:tx>
                <c:rich>
                  <a:bodyPr/>
                  <a:lstStyle/>
                  <a:p>
                    <a:fld id="{71B9181F-E95F-4482-95DE-3EE72B48D2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D1C-4FAB-9C49-2F8476A5A79D}"/>
                </c:ext>
              </c:extLst>
            </c:dLbl>
            <c:dLbl>
              <c:idx val="1"/>
              <c:layout>
                <c:manualLayout>
                  <c:x val="-4.2529786728651126E-2"/>
                  <c:y val="3.2323232323232247E-2"/>
                </c:manualLayout>
              </c:layout>
              <c:tx>
                <c:rich>
                  <a:bodyPr/>
                  <a:lstStyle/>
                  <a:p>
                    <a:fld id="{9DEF38D6-7858-4538-B23E-015C90CA1F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D1C-4FAB-9C49-2F8476A5A79D}"/>
                </c:ext>
              </c:extLst>
            </c:dLbl>
            <c:dLbl>
              <c:idx val="2"/>
              <c:layout>
                <c:manualLayout>
                  <c:x val="-5.2795597318325463E-2"/>
                  <c:y val="-4.0404040404040407E-2"/>
                </c:manualLayout>
              </c:layout>
              <c:tx>
                <c:rich>
                  <a:bodyPr/>
                  <a:lstStyle/>
                  <a:p>
                    <a:fld id="{F311286F-EAA8-4E74-8392-5DD627E69D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Data'!$M$5:$M$7</c:f>
              <c:numCache>
                <c:formatCode>General</c:formatCode>
                <c:ptCount val="3"/>
                <c:pt idx="0">
                  <c:v>165</c:v>
                </c:pt>
                <c:pt idx="1">
                  <c:v>143</c:v>
                </c:pt>
                <c:pt idx="2">
                  <c:v>142</c:v>
                </c:pt>
              </c:numCache>
            </c:numRef>
          </c:xVal>
          <c:yVal>
            <c:numRef>
              <c:f>'September 2023 Data'!$L$5:$L$7</c:f>
              <c:numCache>
                <c:formatCode>General</c:formatCode>
                <c:ptCount val="3"/>
                <c:pt idx="0">
                  <c:v>175</c:v>
                </c:pt>
                <c:pt idx="1">
                  <c:v>186</c:v>
                </c:pt>
                <c:pt idx="2">
                  <c:v>188</c:v>
                </c:pt>
              </c:numCache>
            </c:numRef>
          </c:yVal>
          <c:smooth val="0"/>
          <c:extLst>
            <c:ext xmlns:c15="http://schemas.microsoft.com/office/drawing/2012/chart" uri="{02D57815-91ED-43cb-92C2-25804820EDAC}">
              <c15:datalabelsRange>
                <c15:f>'September 2023 Data'!$A$5:$A$7</c15:f>
                <c15:dlblRangeCache>
                  <c:ptCount val="3"/>
                  <c:pt idx="0">
                    <c:v>Takakeisho</c:v>
                  </c:pt>
                  <c:pt idx="1">
                    <c:v>Kirishima</c:v>
                  </c:pt>
                  <c:pt idx="2">
                    <c:v>Hoshoryu</c:v>
                  </c:pt>
                </c15:dlblRangeCache>
              </c15:datalabelsRange>
            </c:ext>
            <c:ext xmlns:c16="http://schemas.microsoft.com/office/drawing/2014/chart" uri="{C3380CC4-5D6E-409C-BE32-E72D297353CC}">
              <c16:uniqueId val="{00000004-BD1C-4FAB-9C49-2F8476A5A79D}"/>
            </c:ext>
          </c:extLst>
        </c:ser>
        <c:ser>
          <c:idx val="2"/>
          <c:order val="2"/>
          <c:tx>
            <c:v>Sekiwake</c:v>
          </c:tx>
          <c:spPr>
            <a:ln w="25400" cap="rnd">
              <a:noFill/>
              <a:round/>
            </a:ln>
            <a:effectLst/>
          </c:spPr>
          <c:marker>
            <c:symbol val="circle"/>
            <c:size val="15"/>
            <c:spPr>
              <a:solidFill>
                <a:schemeClr val="accent3"/>
              </a:solidFill>
              <a:ln w="25400" cmpd="dbl">
                <a:solidFill>
                  <a:schemeClr val="accent6">
                    <a:lumMod val="60000"/>
                  </a:schemeClr>
                </a:solidFill>
              </a:ln>
              <a:effectLst/>
            </c:spPr>
          </c:marker>
          <c:dLbls>
            <c:dLbl>
              <c:idx val="0"/>
              <c:tx>
                <c:rich>
                  <a:bodyPr/>
                  <a:lstStyle/>
                  <a:p>
                    <a:fld id="{F188BEAE-E9B4-43B5-8125-904E12F28D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D1C-4FAB-9C49-2F8476A5A79D}"/>
                </c:ext>
              </c:extLst>
            </c:dLbl>
            <c:dLbl>
              <c:idx val="1"/>
              <c:tx>
                <c:rich>
                  <a:bodyPr/>
                  <a:lstStyle/>
                  <a:p>
                    <a:fld id="{2FB6267A-F3F0-487D-8CB4-CE468017C8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D1C-4FAB-9C49-2F8476A5A79D}"/>
                </c:ext>
              </c:extLst>
            </c:dLbl>
            <c:dLbl>
              <c:idx val="2"/>
              <c:layout>
                <c:manualLayout>
                  <c:x val="-1.3198899329581366E-2"/>
                  <c:y val="4.0404040404040404E-3"/>
                </c:manualLayout>
              </c:layout>
              <c:tx>
                <c:rich>
                  <a:bodyPr/>
                  <a:lstStyle/>
                  <a:p>
                    <a:fld id="{45B70146-40D9-4E50-9C68-4560D0C86C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Data'!$M$8:$M$10</c:f>
              <c:numCache>
                <c:formatCode>General</c:formatCode>
                <c:ptCount val="3"/>
                <c:pt idx="0">
                  <c:v>147</c:v>
                </c:pt>
                <c:pt idx="1">
                  <c:v>164</c:v>
                </c:pt>
                <c:pt idx="2">
                  <c:v>176</c:v>
                </c:pt>
              </c:numCache>
            </c:numRef>
          </c:xVal>
          <c:yVal>
            <c:numRef>
              <c:f>'September 2023 Data'!$L$8:$L$10</c:f>
              <c:numCache>
                <c:formatCode>General</c:formatCode>
                <c:ptCount val="3"/>
                <c:pt idx="0">
                  <c:v>187</c:v>
                </c:pt>
                <c:pt idx="1">
                  <c:v>182</c:v>
                </c:pt>
                <c:pt idx="2">
                  <c:v>189</c:v>
                </c:pt>
              </c:numCache>
            </c:numRef>
          </c:yVal>
          <c:smooth val="0"/>
          <c:extLst>
            <c:ext xmlns:c15="http://schemas.microsoft.com/office/drawing/2012/chart" uri="{02D57815-91ED-43cb-92C2-25804820EDAC}">
              <c15:datalabelsRange>
                <c15:f>'September 2023 Data'!$A$8:$A$10</c15:f>
                <c15:dlblRangeCache>
                  <c:ptCount val="3"/>
                  <c:pt idx="0">
                    <c:v>Wakamotoharu</c:v>
                  </c:pt>
                  <c:pt idx="1">
                    <c:v>Daieisho</c:v>
                  </c:pt>
                  <c:pt idx="2">
                    <c:v>Kotonowaka</c:v>
                  </c:pt>
                </c15:dlblRangeCache>
              </c15:datalabelsRange>
            </c:ext>
            <c:ext xmlns:c16="http://schemas.microsoft.com/office/drawing/2014/chart" uri="{C3380CC4-5D6E-409C-BE32-E72D297353CC}">
              <c16:uniqueId val="{00000008-BD1C-4FAB-9C49-2F8476A5A79D}"/>
            </c:ext>
          </c:extLst>
        </c:ser>
        <c:ser>
          <c:idx val="3"/>
          <c:order val="3"/>
          <c:tx>
            <c:v>Komusubi</c:v>
          </c:tx>
          <c:spPr>
            <a:ln w="25400" cap="rnd">
              <a:noFill/>
              <a:round/>
            </a:ln>
            <a:effectLst/>
          </c:spPr>
          <c:marker>
            <c:symbol val="circle"/>
            <c:size val="12"/>
            <c:spPr>
              <a:solidFill>
                <a:schemeClr val="accent4"/>
              </a:solidFill>
              <a:ln w="25400" cmpd="sng">
                <a:solidFill>
                  <a:schemeClr val="accent6">
                    <a:lumMod val="60000"/>
                  </a:schemeClr>
                </a:solidFill>
              </a:ln>
              <a:effectLst/>
            </c:spPr>
          </c:marker>
          <c:dLbls>
            <c:dLbl>
              <c:idx val="0"/>
              <c:tx>
                <c:rich>
                  <a:bodyPr/>
                  <a:lstStyle/>
                  <a:p>
                    <a:fld id="{AFCC21D2-0CAC-479F-BAE1-7D59E22D4A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D1C-4FAB-9C49-2F8476A5A79D}"/>
                </c:ext>
              </c:extLst>
            </c:dLbl>
            <c:dLbl>
              <c:idx val="1"/>
              <c:tx>
                <c:rich>
                  <a:bodyPr/>
                  <a:lstStyle/>
                  <a:p>
                    <a:fld id="{0CA21D11-44AA-433D-9EE4-225A8C33EC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Data'!$M$11:$M$12</c:f>
              <c:numCache>
                <c:formatCode>General</c:formatCode>
                <c:ptCount val="2"/>
                <c:pt idx="0">
                  <c:v>135</c:v>
                </c:pt>
                <c:pt idx="1">
                  <c:v>180</c:v>
                </c:pt>
              </c:numCache>
            </c:numRef>
          </c:xVal>
          <c:yVal>
            <c:numRef>
              <c:f>'September 2023 Data'!$L$11:$L$12</c:f>
              <c:numCache>
                <c:formatCode>General</c:formatCode>
                <c:ptCount val="2"/>
                <c:pt idx="0">
                  <c:v>174</c:v>
                </c:pt>
                <c:pt idx="1">
                  <c:v>185</c:v>
                </c:pt>
              </c:numCache>
            </c:numRef>
          </c:yVal>
          <c:smooth val="0"/>
          <c:extLst>
            <c:ext xmlns:c15="http://schemas.microsoft.com/office/drawing/2012/chart" uri="{02D57815-91ED-43cb-92C2-25804820EDAC}">
              <c15:datalabelsRange>
                <c15:f>'September 2023 Data'!$A$11:$A$12</c15:f>
                <c15:dlblRangeCache>
                  <c:ptCount val="2"/>
                  <c:pt idx="0">
                    <c:v>Tobizaru</c:v>
                  </c:pt>
                  <c:pt idx="1">
                    <c:v>Nishikigi</c:v>
                  </c:pt>
                </c15:dlblRangeCache>
              </c15:datalabelsRange>
            </c:ext>
            <c:ext xmlns:c16="http://schemas.microsoft.com/office/drawing/2014/chart" uri="{C3380CC4-5D6E-409C-BE32-E72D297353CC}">
              <c16:uniqueId val="{0000000B-BD1C-4FAB-9C49-2F8476A5A79D}"/>
            </c:ext>
          </c:extLst>
        </c:ser>
        <c:ser>
          <c:idx val="4"/>
          <c:order val="4"/>
          <c:tx>
            <c:v>M01-04</c:v>
          </c:tx>
          <c:spPr>
            <a:ln w="25400" cap="rnd">
              <a:noFill/>
              <a:round/>
            </a:ln>
            <a:effectLst/>
          </c:spPr>
          <c:marker>
            <c:symbol val="circle"/>
            <c:size val="9"/>
            <c:spPr>
              <a:solidFill>
                <a:schemeClr val="accent1">
                  <a:alpha val="73000"/>
                </a:schemeClr>
              </a:solidFill>
              <a:ln w="9525">
                <a:solidFill>
                  <a:schemeClr val="tx1">
                    <a:lumMod val="50000"/>
                    <a:lumOff val="50000"/>
                  </a:schemeClr>
                </a:solidFill>
              </a:ln>
              <a:effectLst/>
            </c:spPr>
          </c:marker>
          <c:dLbls>
            <c:dLbl>
              <c:idx val="0"/>
              <c:tx>
                <c:rich>
                  <a:bodyPr/>
                  <a:lstStyle/>
                  <a:p>
                    <a:fld id="{F5CFA390-85F9-4705-BF75-75307EF398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D1C-4FAB-9C49-2F8476A5A79D}"/>
                </c:ext>
              </c:extLst>
            </c:dLbl>
            <c:dLbl>
              <c:idx val="1"/>
              <c:layout>
                <c:manualLayout>
                  <c:x val="-3.3730520508930155E-2"/>
                  <c:y val="2.8282828282828285E-2"/>
                </c:manualLayout>
              </c:layout>
              <c:tx>
                <c:rich>
                  <a:bodyPr/>
                  <a:lstStyle/>
                  <a:p>
                    <a:fld id="{F2EB1738-000D-49AF-9BFC-6774B7FF41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D1C-4FAB-9C49-2F8476A5A79D}"/>
                </c:ext>
              </c:extLst>
            </c:dLbl>
            <c:dLbl>
              <c:idx val="2"/>
              <c:tx>
                <c:rich>
                  <a:bodyPr/>
                  <a:lstStyle/>
                  <a:p>
                    <a:fld id="{DD7D7B33-80D9-4BBF-83C9-18727366B6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D1C-4FAB-9C49-2F8476A5A79D}"/>
                </c:ext>
              </c:extLst>
            </c:dLbl>
            <c:dLbl>
              <c:idx val="3"/>
              <c:layout>
                <c:manualLayout>
                  <c:x val="-5.8661774798139409E-2"/>
                  <c:y val="2.4242424242424242E-2"/>
                </c:manualLayout>
              </c:layout>
              <c:tx>
                <c:rich>
                  <a:bodyPr/>
                  <a:lstStyle/>
                  <a:p>
                    <a:fld id="{B1117363-41E3-43E6-B674-9E90EF0136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D1C-4FAB-9C49-2F8476A5A79D}"/>
                </c:ext>
              </c:extLst>
            </c:dLbl>
            <c:dLbl>
              <c:idx val="4"/>
              <c:tx>
                <c:rich>
                  <a:bodyPr/>
                  <a:lstStyle/>
                  <a:p>
                    <a:fld id="{F9F3C1DD-9E40-4580-AAE9-C2A571AA82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D1C-4FAB-9C49-2F8476A5A79D}"/>
                </c:ext>
              </c:extLst>
            </c:dLbl>
            <c:dLbl>
              <c:idx val="5"/>
              <c:layout>
                <c:manualLayout>
                  <c:x val="-4.252978672865107E-2"/>
                  <c:y val="2.8282828282828208E-2"/>
                </c:manualLayout>
              </c:layout>
              <c:tx>
                <c:rich>
                  <a:bodyPr/>
                  <a:lstStyle/>
                  <a:p>
                    <a:fld id="{54CC4190-3F3D-43F4-A17F-C2768E90CA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D1C-4FAB-9C49-2F8476A5A79D}"/>
                </c:ext>
              </c:extLst>
            </c:dLbl>
            <c:dLbl>
              <c:idx val="6"/>
              <c:tx>
                <c:rich>
                  <a:bodyPr/>
                  <a:lstStyle/>
                  <a:p>
                    <a:fld id="{EB5E889B-65D0-421F-96F8-3DD2AB5F26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D1C-4FAB-9C49-2F8476A5A79D}"/>
                </c:ext>
              </c:extLst>
            </c:dLbl>
            <c:dLbl>
              <c:idx val="7"/>
              <c:tx>
                <c:rich>
                  <a:bodyPr/>
                  <a:lstStyle/>
                  <a:p>
                    <a:fld id="{4327F76D-1A3E-4B00-AF26-DCD0F80A29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Data'!$M$13:$M$20</c:f>
              <c:numCache>
                <c:formatCode>General</c:formatCode>
                <c:ptCount val="8"/>
                <c:pt idx="0">
                  <c:v>154</c:v>
                </c:pt>
                <c:pt idx="1">
                  <c:v>158</c:v>
                </c:pt>
                <c:pt idx="2">
                  <c:v>158</c:v>
                </c:pt>
                <c:pt idx="3">
                  <c:v>168</c:v>
                </c:pt>
                <c:pt idx="4">
                  <c:v>161</c:v>
                </c:pt>
                <c:pt idx="5">
                  <c:v>174</c:v>
                </c:pt>
                <c:pt idx="6">
                  <c:v>143</c:v>
                </c:pt>
                <c:pt idx="7">
                  <c:v>170</c:v>
                </c:pt>
              </c:numCache>
            </c:numRef>
          </c:xVal>
          <c:yVal>
            <c:numRef>
              <c:f>'September 2023 Data'!$L$13:$L$20</c:f>
              <c:numCache>
                <c:formatCode>General</c:formatCode>
                <c:ptCount val="8"/>
                <c:pt idx="0">
                  <c:v>180</c:v>
                </c:pt>
                <c:pt idx="1">
                  <c:v>184</c:v>
                </c:pt>
                <c:pt idx="2">
                  <c:v>186</c:v>
                </c:pt>
                <c:pt idx="3">
                  <c:v>189</c:v>
                </c:pt>
                <c:pt idx="4">
                  <c:v>184</c:v>
                </c:pt>
                <c:pt idx="5">
                  <c:v>189</c:v>
                </c:pt>
                <c:pt idx="6">
                  <c:v>175</c:v>
                </c:pt>
                <c:pt idx="7">
                  <c:v>183</c:v>
                </c:pt>
              </c:numCache>
            </c:numRef>
          </c:yVal>
          <c:smooth val="0"/>
          <c:extLst>
            <c:ext xmlns:c15="http://schemas.microsoft.com/office/drawing/2012/chart" uri="{02D57815-91ED-43cb-92C2-25804820EDAC}">
              <c15:datalabelsRange>
                <c15:f>'September 2023 Data'!$A$13:$A$20</c15:f>
                <c15:dlblRangeCache>
                  <c:ptCount val="8"/>
                  <c:pt idx="0">
                    <c:v>Meisei</c:v>
                  </c:pt>
                  <c:pt idx="1">
                    <c:v>Hokutofuji</c:v>
                  </c:pt>
                  <c:pt idx="2">
                    <c:v>Abi</c:v>
                  </c:pt>
                  <c:pt idx="3">
                    <c:v>Asanoyama</c:v>
                  </c:pt>
                  <c:pt idx="4">
                    <c:v>Shodai</c:v>
                  </c:pt>
                  <c:pt idx="5">
                    <c:v>Tamawashi</c:v>
                  </c:pt>
                  <c:pt idx="6">
                    <c:v>Ura</c:v>
                  </c:pt>
                  <c:pt idx="7">
                    <c:v>Takanosho</c:v>
                  </c:pt>
                </c15:dlblRangeCache>
              </c15:datalabelsRange>
            </c:ext>
            <c:ext xmlns:c16="http://schemas.microsoft.com/office/drawing/2014/chart" uri="{C3380CC4-5D6E-409C-BE32-E72D297353CC}">
              <c16:uniqueId val="{00000014-BD1C-4FAB-9C49-2F8476A5A79D}"/>
            </c:ext>
          </c:extLst>
        </c:ser>
        <c:ser>
          <c:idx val="5"/>
          <c:order val="5"/>
          <c:tx>
            <c:v>M05-08</c:v>
          </c:tx>
          <c:spPr>
            <a:ln w="25400" cap="rnd">
              <a:noFill/>
              <a:round/>
            </a:ln>
            <a:effectLst/>
          </c:spPr>
          <c:marker>
            <c:symbol val="circle"/>
            <c:size val="8"/>
            <c:spPr>
              <a:solidFill>
                <a:schemeClr val="accent2">
                  <a:alpha val="28000"/>
                </a:schemeClr>
              </a:solidFill>
              <a:ln w="9525">
                <a:solidFill>
                  <a:schemeClr val="tx1">
                    <a:lumMod val="50000"/>
                    <a:lumOff val="50000"/>
                  </a:schemeClr>
                </a:solidFill>
              </a:ln>
              <a:effectLst/>
            </c:spPr>
          </c:marker>
          <c:dLbls>
            <c:dLbl>
              <c:idx val="0"/>
              <c:tx>
                <c:rich>
                  <a:bodyPr/>
                  <a:lstStyle/>
                  <a:p>
                    <a:fld id="{7DADDD43-0FFD-4585-AE68-0FC9A19CE5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D1C-4FAB-9C49-2F8476A5A79D}"/>
                </c:ext>
              </c:extLst>
            </c:dLbl>
            <c:dLbl>
              <c:idx val="1"/>
              <c:tx>
                <c:rich>
                  <a:bodyPr/>
                  <a:lstStyle/>
                  <a:p>
                    <a:fld id="{E75B98EA-2739-436C-AF3C-0191DFBDCA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D1C-4FAB-9C49-2F8476A5A79D}"/>
                </c:ext>
              </c:extLst>
            </c:dLbl>
            <c:dLbl>
              <c:idx val="2"/>
              <c:tx>
                <c:rich>
                  <a:bodyPr/>
                  <a:lstStyle/>
                  <a:p>
                    <a:fld id="{3A9C301E-2547-4176-8B6F-82F562E0E6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D1C-4FAB-9C49-2F8476A5A79D}"/>
                </c:ext>
              </c:extLst>
            </c:dLbl>
            <c:dLbl>
              <c:idx val="3"/>
              <c:layout>
                <c:manualLayout>
                  <c:x val="-3.8130153618790665E-2"/>
                  <c:y val="-2.2222222222222296E-2"/>
                </c:manualLayout>
              </c:layout>
              <c:tx>
                <c:rich>
                  <a:bodyPr/>
                  <a:lstStyle/>
                  <a:p>
                    <a:fld id="{0C051AB2-BFC8-4439-AB7A-802949FAD6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BD1C-4FAB-9C49-2F8476A5A79D}"/>
                </c:ext>
              </c:extLst>
            </c:dLbl>
            <c:dLbl>
              <c:idx val="4"/>
              <c:tx>
                <c:rich>
                  <a:bodyPr/>
                  <a:lstStyle/>
                  <a:p>
                    <a:fld id="{1FA8871A-FDC1-4C1F-9364-553B9F1074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D1C-4FAB-9C49-2F8476A5A79D}"/>
                </c:ext>
              </c:extLst>
            </c:dLbl>
            <c:dLbl>
              <c:idx val="5"/>
              <c:tx>
                <c:rich>
                  <a:bodyPr/>
                  <a:lstStyle/>
                  <a:p>
                    <a:fld id="{95A3B3E9-9F5E-4F43-B5F9-CF0AA8B788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D1C-4FAB-9C49-2F8476A5A79D}"/>
                </c:ext>
              </c:extLst>
            </c:dLbl>
            <c:dLbl>
              <c:idx val="6"/>
              <c:tx>
                <c:rich>
                  <a:bodyPr/>
                  <a:lstStyle/>
                  <a:p>
                    <a:fld id="{E7F833DA-8799-47AC-9315-34EAC7095E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D1C-4FAB-9C49-2F8476A5A79D}"/>
                </c:ext>
              </c:extLst>
            </c:dLbl>
            <c:dLbl>
              <c:idx val="7"/>
              <c:tx>
                <c:rich>
                  <a:bodyPr/>
                  <a:lstStyle/>
                  <a:p>
                    <a:fld id="{9E9BB2C8-00FD-4679-97A7-B6A6D8FF1A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Data'!$M$21:$M$28</c:f>
              <c:numCache>
                <c:formatCode>General</c:formatCode>
                <c:ptCount val="8"/>
                <c:pt idx="0">
                  <c:v>154</c:v>
                </c:pt>
                <c:pt idx="1">
                  <c:v>186</c:v>
                </c:pt>
                <c:pt idx="2">
                  <c:v>165</c:v>
                </c:pt>
                <c:pt idx="3">
                  <c:v>155</c:v>
                </c:pt>
                <c:pt idx="4">
                  <c:v>179</c:v>
                </c:pt>
                <c:pt idx="5">
                  <c:v>183</c:v>
                </c:pt>
                <c:pt idx="6">
                  <c:v>135</c:v>
                </c:pt>
                <c:pt idx="7">
                  <c:v>133</c:v>
                </c:pt>
              </c:numCache>
            </c:numRef>
          </c:xVal>
          <c:yVal>
            <c:numRef>
              <c:f>'September 2023 Data'!$L$21:$L$28</c:f>
              <c:numCache>
                <c:formatCode>General</c:formatCode>
                <c:ptCount val="8"/>
                <c:pt idx="0">
                  <c:v>177</c:v>
                </c:pt>
                <c:pt idx="1">
                  <c:v>193</c:v>
                </c:pt>
                <c:pt idx="2">
                  <c:v>177</c:v>
                </c:pt>
                <c:pt idx="3">
                  <c:v>188</c:v>
                </c:pt>
                <c:pt idx="4">
                  <c:v>190</c:v>
                </c:pt>
                <c:pt idx="5">
                  <c:v>188</c:v>
                </c:pt>
                <c:pt idx="6">
                  <c:v>177</c:v>
                </c:pt>
                <c:pt idx="7">
                  <c:v>176</c:v>
                </c:pt>
              </c:numCache>
            </c:numRef>
          </c:yVal>
          <c:smooth val="0"/>
          <c:extLst>
            <c:ext xmlns:c15="http://schemas.microsoft.com/office/drawing/2012/chart" uri="{02D57815-91ED-43cb-92C2-25804820EDAC}">
              <c15:datalabelsRange>
                <c15:f>'September 2023 Data'!$A$21:$A$28</c15:f>
                <c15:dlblRangeCache>
                  <c:ptCount val="8"/>
                  <c:pt idx="0">
                    <c:v>Gonoyama</c:v>
                  </c:pt>
                  <c:pt idx="1">
                    <c:v>Shonannoumi</c:v>
                  </c:pt>
                  <c:pt idx="2">
                    <c:v>Onosho</c:v>
                  </c:pt>
                  <c:pt idx="3">
                    <c:v>Ryuden</c:v>
                  </c:pt>
                  <c:pt idx="4">
                    <c:v>Oho</c:v>
                  </c:pt>
                  <c:pt idx="5">
                    <c:v>Takayasu</c:v>
                  </c:pt>
                  <c:pt idx="6">
                    <c:v>Hiradoumi</c:v>
                  </c:pt>
                  <c:pt idx="7">
                    <c:v>Kotoeko</c:v>
                  </c:pt>
                </c15:dlblRangeCache>
              </c15:datalabelsRange>
            </c:ext>
            <c:ext xmlns:c16="http://schemas.microsoft.com/office/drawing/2014/chart" uri="{C3380CC4-5D6E-409C-BE32-E72D297353CC}">
              <c16:uniqueId val="{0000001D-BD1C-4FAB-9C49-2F8476A5A79D}"/>
            </c:ext>
          </c:extLst>
        </c:ser>
        <c:ser>
          <c:idx val="6"/>
          <c:order val="6"/>
          <c:tx>
            <c:v>M09-12</c:v>
          </c:tx>
          <c:spPr>
            <a:ln w="25400" cap="rnd">
              <a:noFill/>
              <a:round/>
            </a:ln>
            <a:effectLst/>
          </c:spPr>
          <c:marker>
            <c:symbol val="circle"/>
            <c:size val="5"/>
            <c:spPr>
              <a:solidFill>
                <a:schemeClr val="accent2">
                  <a:alpha val="52000"/>
                </a:schemeClr>
              </a:solidFill>
              <a:ln w="9525">
                <a:solidFill>
                  <a:schemeClr val="accent1">
                    <a:lumMod val="60000"/>
                  </a:schemeClr>
                </a:solidFill>
              </a:ln>
              <a:effectLst/>
            </c:spPr>
          </c:marker>
          <c:dLbls>
            <c:dLbl>
              <c:idx val="0"/>
              <c:tx>
                <c:rich>
                  <a:bodyPr/>
                  <a:lstStyle/>
                  <a:p>
                    <a:fld id="{6538841F-E688-43C4-AB88-229E541747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D1C-4FAB-9C49-2F8476A5A79D}"/>
                </c:ext>
              </c:extLst>
            </c:dLbl>
            <c:dLbl>
              <c:idx val="1"/>
              <c:layout>
                <c:manualLayout>
                  <c:x val="-1.1732354959627881E-2"/>
                  <c:y val="2.2222222222222223E-2"/>
                </c:manualLayout>
              </c:layout>
              <c:tx>
                <c:rich>
                  <a:bodyPr/>
                  <a:lstStyle/>
                  <a:p>
                    <a:fld id="{FEAD5268-93D5-48BE-AC35-44B41B8133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BD1C-4FAB-9C49-2F8476A5A79D}"/>
                </c:ext>
              </c:extLst>
            </c:dLbl>
            <c:dLbl>
              <c:idx val="2"/>
              <c:tx>
                <c:rich>
                  <a:bodyPr/>
                  <a:lstStyle/>
                  <a:p>
                    <a:fld id="{B8E69C15-2B69-4107-8D25-A666CC82FC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D1C-4FAB-9C49-2F8476A5A79D}"/>
                </c:ext>
              </c:extLst>
            </c:dLbl>
            <c:dLbl>
              <c:idx val="3"/>
              <c:tx>
                <c:rich>
                  <a:bodyPr/>
                  <a:lstStyle/>
                  <a:p>
                    <a:fld id="{8F43C0A9-06C9-4D3C-8FA8-CB20965DB6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D1C-4FAB-9C49-2F8476A5A79D}"/>
                </c:ext>
              </c:extLst>
            </c:dLbl>
            <c:dLbl>
              <c:idx val="4"/>
              <c:tx>
                <c:rich>
                  <a:bodyPr/>
                  <a:lstStyle/>
                  <a:p>
                    <a:fld id="{F625D17B-2924-4741-89C6-4B9A188DEA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D1C-4FAB-9C49-2F8476A5A79D}"/>
                </c:ext>
              </c:extLst>
            </c:dLbl>
            <c:dLbl>
              <c:idx val="5"/>
              <c:tx>
                <c:rich>
                  <a:bodyPr/>
                  <a:lstStyle/>
                  <a:p>
                    <a:fld id="{EE9F471A-15FA-41AF-BFAA-BCE6C98910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D1C-4FAB-9C49-2F8476A5A79D}"/>
                </c:ext>
              </c:extLst>
            </c:dLbl>
            <c:dLbl>
              <c:idx val="6"/>
              <c:layout>
                <c:manualLayout>
                  <c:x val="-1.7598532439441823E-2"/>
                  <c:y val="2.0202020202020127E-2"/>
                </c:manualLayout>
              </c:layout>
              <c:tx>
                <c:rich>
                  <a:bodyPr/>
                  <a:lstStyle/>
                  <a:p>
                    <a:fld id="{6810E1C9-2B9E-48FF-9F9A-26DA30D3EB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BD1C-4FAB-9C49-2F8476A5A79D}"/>
                </c:ext>
              </c:extLst>
            </c:dLbl>
            <c:dLbl>
              <c:idx val="7"/>
              <c:tx>
                <c:rich>
                  <a:bodyPr/>
                  <a:lstStyle/>
                  <a:p>
                    <a:fld id="{11702000-D033-44D3-A45B-4AC04F8609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Data'!$M$29:$M$36</c:f>
              <c:numCache>
                <c:formatCode>General</c:formatCode>
                <c:ptCount val="8"/>
                <c:pt idx="0">
                  <c:v>116</c:v>
                </c:pt>
                <c:pt idx="1">
                  <c:v>162</c:v>
                </c:pt>
                <c:pt idx="2">
                  <c:v>181</c:v>
                </c:pt>
                <c:pt idx="3">
                  <c:v>150</c:v>
                </c:pt>
                <c:pt idx="4">
                  <c:v>170</c:v>
                </c:pt>
                <c:pt idx="5">
                  <c:v>185</c:v>
                </c:pt>
                <c:pt idx="6">
                  <c:v>142</c:v>
                </c:pt>
                <c:pt idx="7">
                  <c:v>171</c:v>
                </c:pt>
              </c:numCache>
            </c:numRef>
          </c:xVal>
          <c:yVal>
            <c:numRef>
              <c:f>'September 2023 Data'!$L$29:$L$36</c:f>
              <c:numCache>
                <c:formatCode>General</c:formatCode>
                <c:ptCount val="8"/>
                <c:pt idx="0">
                  <c:v>171</c:v>
                </c:pt>
                <c:pt idx="1">
                  <c:v>181</c:v>
                </c:pt>
                <c:pt idx="2">
                  <c:v>192</c:v>
                </c:pt>
                <c:pt idx="3">
                  <c:v>184</c:v>
                </c:pt>
                <c:pt idx="4">
                  <c:v>179</c:v>
                </c:pt>
                <c:pt idx="5">
                  <c:v>204</c:v>
                </c:pt>
                <c:pt idx="6">
                  <c:v>182</c:v>
                </c:pt>
                <c:pt idx="7">
                  <c:v>186</c:v>
                </c:pt>
              </c:numCache>
            </c:numRef>
          </c:yVal>
          <c:smooth val="0"/>
          <c:extLst>
            <c:ext xmlns:c15="http://schemas.microsoft.com/office/drawing/2012/chart" uri="{02D57815-91ED-43cb-92C2-25804820EDAC}">
              <c15:datalabelsRange>
                <c15:f>'September 2023 Data'!$A$29:$A$36</c15:f>
                <c15:dlblRangeCache>
                  <c:ptCount val="8"/>
                  <c:pt idx="0">
                    <c:v>Midorifuji</c:v>
                  </c:pt>
                  <c:pt idx="1">
                    <c:v>Hakuoho</c:v>
                  </c:pt>
                  <c:pt idx="2">
                    <c:v>Kinbozan</c:v>
                  </c:pt>
                  <c:pt idx="3">
                    <c:v>Endo</c:v>
                  </c:pt>
                  <c:pt idx="4">
                    <c:v>Mitakeumi</c:v>
                  </c:pt>
                  <c:pt idx="5">
                    <c:v>Hokuseiho</c:v>
                  </c:pt>
                  <c:pt idx="6">
                    <c:v>Sadanoumi</c:v>
                  </c:pt>
                  <c:pt idx="7">
                    <c:v>Takarafuji</c:v>
                  </c:pt>
                </c15:dlblRangeCache>
              </c15:datalabelsRange>
            </c:ext>
            <c:ext xmlns:c16="http://schemas.microsoft.com/office/drawing/2014/chart" uri="{C3380CC4-5D6E-409C-BE32-E72D297353CC}">
              <c16:uniqueId val="{00000026-BD1C-4FAB-9C49-2F8476A5A79D}"/>
            </c:ext>
          </c:extLst>
        </c:ser>
        <c:ser>
          <c:idx val="7"/>
          <c:order val="7"/>
          <c:tx>
            <c:v>M13-17</c:v>
          </c:tx>
          <c:spPr>
            <a:ln w="25400" cap="rnd">
              <a:noFill/>
              <a:round/>
            </a:ln>
            <a:effectLst/>
          </c:spPr>
          <c:marker>
            <c:symbol val="circle"/>
            <c:size val="4"/>
            <c:spPr>
              <a:solidFill>
                <a:schemeClr val="tx2">
                  <a:lumMod val="40000"/>
                  <a:lumOff val="60000"/>
                  <a:alpha val="48000"/>
                </a:schemeClr>
              </a:solidFill>
              <a:ln w="9525">
                <a:solidFill>
                  <a:schemeClr val="bg2">
                    <a:lumMod val="75000"/>
                  </a:schemeClr>
                </a:solidFill>
              </a:ln>
              <a:effectLst/>
            </c:spPr>
          </c:marker>
          <c:dLbls>
            <c:dLbl>
              <c:idx val="0"/>
              <c:layout>
                <c:manualLayout>
                  <c:x val="-2.4931254289209302E-2"/>
                  <c:y val="2.0202020202020204E-2"/>
                </c:manualLayout>
              </c:layout>
              <c:tx>
                <c:rich>
                  <a:bodyPr/>
                  <a:lstStyle/>
                  <a:p>
                    <a:fld id="{A62252D4-BEA7-4FDF-8DD9-07C6334F6F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D1C-4FAB-9C49-2F8476A5A79D}"/>
                </c:ext>
              </c:extLst>
            </c:dLbl>
            <c:dLbl>
              <c:idx val="1"/>
              <c:layout>
                <c:manualLayout>
                  <c:x val="-1.4665443699534314E-3"/>
                  <c:y val="-4.0404040404041141E-3"/>
                </c:manualLayout>
              </c:layout>
              <c:tx>
                <c:rich>
                  <a:bodyPr/>
                  <a:lstStyle/>
                  <a:p>
                    <a:fld id="{E462EF76-2B88-4D5E-8B2D-D69DB59048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BD1C-4FAB-9C49-2F8476A5A79D}"/>
                </c:ext>
              </c:extLst>
            </c:dLbl>
            <c:dLbl>
              <c:idx val="2"/>
              <c:tx>
                <c:rich>
                  <a:bodyPr/>
                  <a:lstStyle/>
                  <a:p>
                    <a:fld id="{6EFC3B63-8BCE-44C9-B2E9-922BEBEEC5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D1C-4FAB-9C49-2F8476A5A79D}"/>
                </c:ext>
              </c:extLst>
            </c:dLbl>
            <c:dLbl>
              <c:idx val="3"/>
              <c:tx>
                <c:rich>
                  <a:bodyPr/>
                  <a:lstStyle/>
                  <a:p>
                    <a:fld id="{8752058A-61CC-4974-ACF3-4916C0A4C3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BD1C-4FAB-9C49-2F8476A5A79D}"/>
                </c:ext>
              </c:extLst>
            </c:dLbl>
            <c:dLbl>
              <c:idx val="4"/>
              <c:layout>
                <c:manualLayout>
                  <c:x val="-4.3996331098604527E-2"/>
                  <c:y val="2.8282828282828285E-2"/>
                </c:manualLayout>
              </c:layout>
              <c:tx>
                <c:rich>
                  <a:bodyPr/>
                  <a:lstStyle/>
                  <a:p>
                    <a:fld id="{68998B55-E880-4637-A239-4B82784F1A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D1C-4FAB-9C49-2F8476A5A79D}"/>
                </c:ext>
              </c:extLst>
            </c:dLbl>
            <c:dLbl>
              <c:idx val="5"/>
              <c:layout>
                <c:manualLayout>
                  <c:x val="-2.3464709919255762E-2"/>
                  <c:y val="1.6161616161616162E-2"/>
                </c:manualLayout>
              </c:layout>
              <c:tx>
                <c:rich>
                  <a:bodyPr/>
                  <a:lstStyle/>
                  <a:p>
                    <a:fld id="{E70A7C82-6197-4B60-82B4-46ACA1E80A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BD1C-4FAB-9C49-2F8476A5A79D}"/>
                </c:ext>
              </c:extLst>
            </c:dLbl>
            <c:dLbl>
              <c:idx val="6"/>
              <c:layout>
                <c:manualLayout>
                  <c:x val="-2.6397798659162839E-2"/>
                  <c:y val="3.0303030303030228E-2"/>
                </c:manualLayout>
              </c:layout>
              <c:tx>
                <c:rich>
                  <a:bodyPr/>
                  <a:lstStyle/>
                  <a:p>
                    <a:fld id="{36A75AF0-BB21-498A-9421-57E6914836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BD1C-4FAB-9C49-2F8476A5A79D}"/>
                </c:ext>
              </c:extLst>
            </c:dLbl>
            <c:dLbl>
              <c:idx val="7"/>
              <c:tx>
                <c:rich>
                  <a:bodyPr/>
                  <a:lstStyle/>
                  <a:p>
                    <a:fld id="{FAB9AA6D-86A0-4A4D-96C6-2421DED73B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D1C-4FAB-9C49-2F8476A5A79D}"/>
                </c:ext>
              </c:extLst>
            </c:dLbl>
            <c:dLbl>
              <c:idx val="8"/>
              <c:tx>
                <c:rich>
                  <a:bodyPr/>
                  <a:lstStyle/>
                  <a:p>
                    <a:fld id="{A4FB2100-3150-471C-8667-A94A2239BC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D1C-4FAB-9C49-2F8476A5A7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Data'!$M$37:$M$45</c:f>
              <c:numCache>
                <c:formatCode>General</c:formatCode>
                <c:ptCount val="9"/>
                <c:pt idx="0">
                  <c:v>149</c:v>
                </c:pt>
                <c:pt idx="1">
                  <c:v>156</c:v>
                </c:pt>
                <c:pt idx="2">
                  <c:v>161</c:v>
                </c:pt>
                <c:pt idx="3">
                  <c:v>186</c:v>
                </c:pt>
                <c:pt idx="4">
                  <c:v>137</c:v>
                </c:pt>
                <c:pt idx="5">
                  <c:v>176</c:v>
                </c:pt>
                <c:pt idx="6">
                  <c:v>194</c:v>
                </c:pt>
                <c:pt idx="7">
                  <c:v>156</c:v>
                </c:pt>
                <c:pt idx="8">
                  <c:v>196</c:v>
                </c:pt>
              </c:numCache>
            </c:numRef>
          </c:xVal>
          <c:yVal>
            <c:numRef>
              <c:f>'September 2023 Data'!$L$37:$L$45</c:f>
              <c:numCache>
                <c:formatCode>General</c:formatCode>
                <c:ptCount val="9"/>
                <c:pt idx="0">
                  <c:v>184</c:v>
                </c:pt>
                <c:pt idx="1">
                  <c:v>188</c:v>
                </c:pt>
                <c:pt idx="2">
                  <c:v>191</c:v>
                </c:pt>
                <c:pt idx="3">
                  <c:v>191</c:v>
                </c:pt>
                <c:pt idx="4">
                  <c:v>184</c:v>
                </c:pt>
                <c:pt idx="5">
                  <c:v>185</c:v>
                </c:pt>
                <c:pt idx="6">
                  <c:v>185</c:v>
                </c:pt>
                <c:pt idx="7">
                  <c:v>193</c:v>
                </c:pt>
                <c:pt idx="8">
                  <c:v>185</c:v>
                </c:pt>
              </c:numCache>
            </c:numRef>
          </c:yVal>
          <c:smooth val="0"/>
          <c:extLst>
            <c:ext xmlns:c15="http://schemas.microsoft.com/office/drawing/2012/chart" uri="{02D57815-91ED-43cb-92C2-25804820EDAC}">
              <c15:datalabelsRange>
                <c15:f>'September 2023 Data'!$A$37:$A$45</c15:f>
                <c15:dlblRangeCache>
                  <c:ptCount val="9"/>
                  <c:pt idx="0">
                    <c:v>Nishikifuji</c:v>
                  </c:pt>
                  <c:pt idx="1">
                    <c:v>Myogiryu</c:v>
                  </c:pt>
                  <c:pt idx="2">
                    <c:v>Kotoshoho</c:v>
                  </c:pt>
                  <c:pt idx="3">
                    <c:v>Aoiyama</c:v>
                  </c:pt>
                  <c:pt idx="4">
                    <c:v>Chiyoshoma</c:v>
                  </c:pt>
                  <c:pt idx="5">
                    <c:v>Atamifuji</c:v>
                  </c:pt>
                  <c:pt idx="6">
                    <c:v>Tsurugisho</c:v>
                  </c:pt>
                  <c:pt idx="7">
                    <c:v>Kagayaki</c:v>
                  </c:pt>
                  <c:pt idx="8">
                    <c:v>Daishoho</c:v>
                  </c:pt>
                </c15:dlblRangeCache>
              </c15:datalabelsRange>
            </c:ext>
            <c:ext xmlns:c16="http://schemas.microsoft.com/office/drawing/2014/chart" uri="{C3380CC4-5D6E-409C-BE32-E72D297353CC}">
              <c16:uniqueId val="{00000031-BD1C-4FAB-9C49-2F8476A5A79D}"/>
            </c:ext>
          </c:extLst>
        </c:ser>
        <c:dLbls>
          <c:showLegendKey val="0"/>
          <c:showVal val="0"/>
          <c:showCatName val="0"/>
          <c:showSerName val="0"/>
          <c:showPercent val="0"/>
          <c:showBubbleSize val="0"/>
        </c:dLbls>
        <c:axId val="745971600"/>
        <c:axId val="745971928"/>
      </c:scatterChart>
      <c:valAx>
        <c:axId val="745971600"/>
        <c:scaling>
          <c:orientation val="minMax"/>
          <c:max val="205"/>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7.6658699212096157E-2"/>
          <c:h val="0.272729181579575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2023 Makuuchi Wrestlers </a:t>
            </a:r>
          </a:p>
        </c:rich>
      </c:tx>
      <c:layout>
        <c:manualLayout>
          <c:xMode val="edge"/>
          <c:yMode val="edge"/>
          <c:x val="0.30492390540072861"/>
          <c:y val="1.61616161616161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454119043910073E-2"/>
          <c:y val="8.7070229857631437E-2"/>
          <c:w val="0.78402478205938153"/>
          <c:h val="0.85594431898299383"/>
        </c:manualLayout>
      </c:layout>
      <c:scatterChart>
        <c:scatterStyle val="lineMarker"/>
        <c:varyColors val="0"/>
        <c:ser>
          <c:idx val="0"/>
          <c:order val="0"/>
          <c:tx>
            <c:v>Yokozuna</c:v>
          </c:tx>
          <c:spPr>
            <a:ln w="25400" cap="rnd">
              <a:noFill/>
              <a:round/>
            </a:ln>
            <a:effectLst/>
          </c:spPr>
          <c:marker>
            <c:symbol val="circle"/>
            <c:size val="20"/>
            <c:spPr>
              <a:solidFill>
                <a:schemeClr val="accent1"/>
              </a:solidFill>
              <a:ln w="31750" cmpd="tri">
                <a:solidFill>
                  <a:schemeClr val="accent6">
                    <a:lumMod val="60000"/>
                    <a:alpha val="85000"/>
                  </a:schemeClr>
                </a:solidFill>
              </a:ln>
              <a:effectLst/>
            </c:spPr>
          </c:marker>
          <c:dPt>
            <c:idx val="0"/>
            <c:marker>
              <c:symbol val="circle"/>
              <c:size val="25"/>
              <c:spPr>
                <a:solidFill>
                  <a:schemeClr val="accent1"/>
                </a:solidFill>
                <a:ln w="31750" cmpd="tri">
                  <a:solidFill>
                    <a:schemeClr val="accent6">
                      <a:lumMod val="60000"/>
                      <a:alpha val="85000"/>
                    </a:schemeClr>
                  </a:solidFill>
                </a:ln>
                <a:effectLst/>
              </c:spPr>
            </c:marker>
            <c:bubble3D val="0"/>
            <c:extLst>
              <c:ext xmlns:c16="http://schemas.microsoft.com/office/drawing/2014/chart" uri="{C3380CC4-5D6E-409C-BE32-E72D297353CC}">
                <c16:uniqueId val="{00000000-8D4B-4623-AFB5-A687FED0E2CB}"/>
              </c:ext>
            </c:extLst>
          </c:dPt>
          <c:dLbls>
            <c:dLbl>
              <c:idx val="0"/>
              <c:layout>
                <c:manualLayout>
                  <c:x val="-1.9065076809395308E-2"/>
                  <c:y val="-4.4444444444444446E-2"/>
                </c:manualLayout>
              </c:layout>
              <c:tx>
                <c:rich>
                  <a:bodyPr/>
                  <a:lstStyle/>
                  <a:p>
                    <a:fld id="{98AE20CF-1602-4A0C-969B-DC957BA8A0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D4B-4623-AFB5-A687FED0E2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'July 2023 Data'!$L$4</c:f>
              <c:numCache>
                <c:formatCode>General</c:formatCode>
                <c:ptCount val="1"/>
                <c:pt idx="0">
                  <c:v>174</c:v>
                </c:pt>
              </c:numCache>
            </c:numRef>
          </c:xVal>
          <c:yVal>
            <c:numRef>
              <c:f>'July 2023 Data'!$K$4</c:f>
              <c:numCache>
                <c:formatCode>General</c:formatCode>
                <c:ptCount val="1"/>
                <c:pt idx="0">
                  <c:v>192</c:v>
                </c:pt>
              </c:numCache>
            </c:numRef>
          </c:yVal>
          <c:smooth val="0"/>
          <c:extLst>
            <c:ext xmlns:c15="http://schemas.microsoft.com/office/drawing/2012/chart" uri="{02D57815-91ED-43cb-92C2-25804820EDAC}">
              <c15:datalabelsRange>
                <c15:f>'May 2023 Data'!$A$4</c15:f>
                <c15:dlblRangeCache>
                  <c:ptCount val="1"/>
                  <c:pt idx="0">
                    <c:v>Terunofuji</c:v>
                  </c:pt>
                </c15:dlblRangeCache>
              </c15:datalabelsRange>
            </c:ext>
            <c:ext xmlns:c16="http://schemas.microsoft.com/office/drawing/2014/chart" uri="{C3380CC4-5D6E-409C-BE32-E72D297353CC}">
              <c16:uniqueId val="{00000001-8D4B-4623-AFB5-A687FED0E2CB}"/>
            </c:ext>
          </c:extLst>
        </c:ser>
        <c:ser>
          <c:idx val="1"/>
          <c:order val="1"/>
          <c:tx>
            <c:v>Ozeki</c:v>
          </c:tx>
          <c:spPr>
            <a:ln w="25400" cap="rnd">
              <a:noFill/>
              <a:round/>
            </a:ln>
            <a:effectLst/>
          </c:spPr>
          <c:marker>
            <c:symbol val="circle"/>
            <c:size val="20"/>
            <c:spPr>
              <a:solidFill>
                <a:schemeClr val="accent2"/>
              </a:solidFill>
              <a:ln w="25400" cmpd="thickThin">
                <a:solidFill>
                  <a:schemeClr val="accent6">
                    <a:lumMod val="60000"/>
                  </a:schemeClr>
                </a:solidFill>
              </a:ln>
              <a:effectLst/>
            </c:spPr>
          </c:marker>
          <c:dLbls>
            <c:dLbl>
              <c:idx val="0"/>
              <c:tx>
                <c:rich>
                  <a:bodyPr/>
                  <a:lstStyle/>
                  <a:p>
                    <a:fld id="{7BFCA4AE-4AD5-4A79-B034-C8F73D4CC4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D4B-4623-AFB5-A687FED0E2CB}"/>
                </c:ext>
              </c:extLst>
            </c:dLbl>
            <c:dLbl>
              <c:idx val="1"/>
              <c:layout>
                <c:manualLayout>
                  <c:x val="-4.2529786728651126E-2"/>
                  <c:y val="3.2323232323232247E-2"/>
                </c:manualLayout>
              </c:layout>
              <c:tx>
                <c:rich>
                  <a:bodyPr/>
                  <a:lstStyle/>
                  <a:p>
                    <a:fld id="{F2D6A3D0-C504-47B0-A3F9-BF5F52D9C9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D4B-4623-AFB5-A687FED0E2CB}"/>
                </c:ext>
              </c:extLst>
            </c:dLbl>
            <c:dLbl>
              <c:idx val="2"/>
              <c:layout>
                <c:manualLayout>
                  <c:x val="-5.2795597318325463E-2"/>
                  <c:y val="-4.0404040404040407E-2"/>
                </c:manualLayout>
              </c:layout>
              <c:tx>
                <c:rich>
                  <a:bodyPr/>
                  <a:lstStyle/>
                  <a:p>
                    <a:fld id="{FA463663-3D86-4E50-8F7F-398A1050A9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D4B-4623-AFB5-A687FED0E2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Data'!$M$5:$M$7</c:f>
              <c:numCache>
                <c:formatCode>General</c:formatCode>
                <c:ptCount val="3"/>
                <c:pt idx="0">
                  <c:v>165</c:v>
                </c:pt>
                <c:pt idx="1">
                  <c:v>143</c:v>
                </c:pt>
                <c:pt idx="2">
                  <c:v>142</c:v>
                </c:pt>
              </c:numCache>
            </c:numRef>
          </c:xVal>
          <c:yVal>
            <c:numRef>
              <c:f>'September 2023 Data'!$L$5:$L$7</c:f>
              <c:numCache>
                <c:formatCode>General</c:formatCode>
                <c:ptCount val="3"/>
                <c:pt idx="0">
                  <c:v>175</c:v>
                </c:pt>
                <c:pt idx="1">
                  <c:v>186</c:v>
                </c:pt>
                <c:pt idx="2">
                  <c:v>188</c:v>
                </c:pt>
              </c:numCache>
            </c:numRef>
          </c:yVal>
          <c:smooth val="0"/>
          <c:extLst>
            <c:ext xmlns:c15="http://schemas.microsoft.com/office/drawing/2012/chart" uri="{02D57815-91ED-43cb-92C2-25804820EDAC}">
              <c15:datalabelsRange>
                <c15:f>'September 2023 Data'!$A$5:$A$7</c15:f>
                <c15:dlblRangeCache>
                  <c:ptCount val="3"/>
                  <c:pt idx="0">
                    <c:v>Takakeisho</c:v>
                  </c:pt>
                  <c:pt idx="1">
                    <c:v>Kirishima</c:v>
                  </c:pt>
                  <c:pt idx="2">
                    <c:v>Hoshoryu</c:v>
                  </c:pt>
                </c15:dlblRangeCache>
              </c15:datalabelsRange>
            </c:ext>
            <c:ext xmlns:c16="http://schemas.microsoft.com/office/drawing/2014/chart" uri="{C3380CC4-5D6E-409C-BE32-E72D297353CC}">
              <c16:uniqueId val="{00000005-8D4B-4623-AFB5-A687FED0E2CB}"/>
            </c:ext>
          </c:extLst>
        </c:ser>
        <c:ser>
          <c:idx val="2"/>
          <c:order val="2"/>
          <c:tx>
            <c:v>Sekiwake</c:v>
          </c:tx>
          <c:spPr>
            <a:ln w="25400" cap="rnd">
              <a:noFill/>
              <a:round/>
            </a:ln>
            <a:effectLst/>
          </c:spPr>
          <c:marker>
            <c:symbol val="circle"/>
            <c:size val="15"/>
            <c:spPr>
              <a:solidFill>
                <a:schemeClr val="accent3"/>
              </a:solidFill>
              <a:ln w="25400" cmpd="dbl">
                <a:solidFill>
                  <a:schemeClr val="accent6">
                    <a:lumMod val="60000"/>
                  </a:schemeClr>
                </a:solidFill>
              </a:ln>
              <a:effectLst/>
            </c:spPr>
          </c:marker>
          <c:dLbls>
            <c:dLbl>
              <c:idx val="0"/>
              <c:tx>
                <c:rich>
                  <a:bodyPr/>
                  <a:lstStyle/>
                  <a:p>
                    <a:fld id="{04EA6E1E-F692-4EA9-A24A-1E334F23BC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D4B-4623-AFB5-A687FED0E2CB}"/>
                </c:ext>
              </c:extLst>
            </c:dLbl>
            <c:dLbl>
              <c:idx val="1"/>
              <c:tx>
                <c:rich>
                  <a:bodyPr/>
                  <a:lstStyle/>
                  <a:p>
                    <a:fld id="{8D8497D8-8BA6-48BB-BA5B-D3EB661B66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D4B-4623-AFB5-A687FED0E2CB}"/>
                </c:ext>
              </c:extLst>
            </c:dLbl>
            <c:dLbl>
              <c:idx val="2"/>
              <c:layout>
                <c:manualLayout>
                  <c:x val="-1.3198899329581366E-2"/>
                  <c:y val="4.0404040404040404E-3"/>
                </c:manualLayout>
              </c:layout>
              <c:tx>
                <c:rich>
                  <a:bodyPr/>
                  <a:lstStyle/>
                  <a:p>
                    <a:fld id="{55B5E20F-6869-4963-88A2-5B7A5AD36F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8D4B-4623-AFB5-A687FED0E2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Data'!$M$8:$M$10</c:f>
              <c:numCache>
                <c:formatCode>General</c:formatCode>
                <c:ptCount val="3"/>
                <c:pt idx="0">
                  <c:v>147</c:v>
                </c:pt>
                <c:pt idx="1">
                  <c:v>164</c:v>
                </c:pt>
                <c:pt idx="2">
                  <c:v>176</c:v>
                </c:pt>
              </c:numCache>
            </c:numRef>
          </c:xVal>
          <c:yVal>
            <c:numRef>
              <c:f>'September 2023 Data'!$L$8:$L$10</c:f>
              <c:numCache>
                <c:formatCode>General</c:formatCode>
                <c:ptCount val="3"/>
                <c:pt idx="0">
                  <c:v>187</c:v>
                </c:pt>
                <c:pt idx="1">
                  <c:v>182</c:v>
                </c:pt>
                <c:pt idx="2">
                  <c:v>189</c:v>
                </c:pt>
              </c:numCache>
            </c:numRef>
          </c:yVal>
          <c:smooth val="0"/>
          <c:extLst>
            <c:ext xmlns:c15="http://schemas.microsoft.com/office/drawing/2012/chart" uri="{02D57815-91ED-43cb-92C2-25804820EDAC}">
              <c15:datalabelsRange>
                <c15:f>'September 2023 Data'!$A$8:$A$10</c15:f>
                <c15:dlblRangeCache>
                  <c:ptCount val="3"/>
                  <c:pt idx="0">
                    <c:v>Wakamotoharu</c:v>
                  </c:pt>
                  <c:pt idx="1">
                    <c:v>Daieisho</c:v>
                  </c:pt>
                  <c:pt idx="2">
                    <c:v>Kotonowaka</c:v>
                  </c:pt>
                </c15:dlblRangeCache>
              </c15:datalabelsRange>
            </c:ext>
            <c:ext xmlns:c16="http://schemas.microsoft.com/office/drawing/2014/chart" uri="{C3380CC4-5D6E-409C-BE32-E72D297353CC}">
              <c16:uniqueId val="{00000009-8D4B-4623-AFB5-A687FED0E2CB}"/>
            </c:ext>
          </c:extLst>
        </c:ser>
        <c:ser>
          <c:idx val="3"/>
          <c:order val="3"/>
          <c:tx>
            <c:v>Komusubi</c:v>
          </c:tx>
          <c:spPr>
            <a:ln w="25400" cap="rnd">
              <a:noFill/>
              <a:round/>
            </a:ln>
            <a:effectLst/>
          </c:spPr>
          <c:marker>
            <c:symbol val="circle"/>
            <c:size val="12"/>
            <c:spPr>
              <a:solidFill>
                <a:schemeClr val="accent4"/>
              </a:solidFill>
              <a:ln w="25400" cmpd="sng">
                <a:solidFill>
                  <a:schemeClr val="accent6">
                    <a:lumMod val="60000"/>
                  </a:schemeClr>
                </a:solidFill>
              </a:ln>
              <a:effectLst/>
            </c:spPr>
          </c:marker>
          <c:dLbls>
            <c:dLbl>
              <c:idx val="0"/>
              <c:tx>
                <c:rich>
                  <a:bodyPr/>
                  <a:lstStyle/>
                  <a:p>
                    <a:fld id="{BA3FAFAD-6E2D-44F4-A8F2-84E488EF89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D4B-4623-AFB5-A687FED0E2CB}"/>
                </c:ext>
              </c:extLst>
            </c:dLbl>
            <c:dLbl>
              <c:idx val="1"/>
              <c:tx>
                <c:rich>
                  <a:bodyPr/>
                  <a:lstStyle/>
                  <a:p>
                    <a:fld id="{E2CF3ACF-5B15-43F3-B9A1-4E8E95CA6B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D4B-4623-AFB5-A687FED0E2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Data'!$M$11:$M$12</c:f>
              <c:numCache>
                <c:formatCode>General</c:formatCode>
                <c:ptCount val="2"/>
                <c:pt idx="0">
                  <c:v>135</c:v>
                </c:pt>
                <c:pt idx="1">
                  <c:v>180</c:v>
                </c:pt>
              </c:numCache>
            </c:numRef>
          </c:xVal>
          <c:yVal>
            <c:numRef>
              <c:f>'September 2023 Data'!$L$11:$L$12</c:f>
              <c:numCache>
                <c:formatCode>General</c:formatCode>
                <c:ptCount val="2"/>
                <c:pt idx="0">
                  <c:v>174</c:v>
                </c:pt>
                <c:pt idx="1">
                  <c:v>185</c:v>
                </c:pt>
              </c:numCache>
            </c:numRef>
          </c:yVal>
          <c:smooth val="0"/>
          <c:extLst>
            <c:ext xmlns:c15="http://schemas.microsoft.com/office/drawing/2012/chart" uri="{02D57815-91ED-43cb-92C2-25804820EDAC}">
              <c15:datalabelsRange>
                <c15:f>'September 2023 Data'!$A$11:$A$12</c15:f>
                <c15:dlblRangeCache>
                  <c:ptCount val="2"/>
                  <c:pt idx="0">
                    <c:v>Tobizaru</c:v>
                  </c:pt>
                  <c:pt idx="1">
                    <c:v>Nishikigi</c:v>
                  </c:pt>
                </c15:dlblRangeCache>
              </c15:datalabelsRange>
            </c:ext>
            <c:ext xmlns:c16="http://schemas.microsoft.com/office/drawing/2014/chart" uri="{C3380CC4-5D6E-409C-BE32-E72D297353CC}">
              <c16:uniqueId val="{0000000C-8D4B-4623-AFB5-A687FED0E2CB}"/>
            </c:ext>
          </c:extLst>
        </c:ser>
        <c:ser>
          <c:idx val="4"/>
          <c:order val="4"/>
          <c:tx>
            <c:v>M01-04</c:v>
          </c:tx>
          <c:spPr>
            <a:ln w="25400" cap="rnd">
              <a:noFill/>
              <a:round/>
            </a:ln>
            <a:effectLst/>
          </c:spPr>
          <c:marker>
            <c:symbol val="circle"/>
            <c:size val="9"/>
            <c:spPr>
              <a:solidFill>
                <a:schemeClr val="accent1">
                  <a:alpha val="73000"/>
                </a:schemeClr>
              </a:solidFill>
              <a:ln w="9525">
                <a:solidFill>
                  <a:schemeClr val="tx1">
                    <a:lumMod val="50000"/>
                    <a:lumOff val="50000"/>
                  </a:schemeClr>
                </a:solidFill>
              </a:ln>
              <a:effectLst/>
            </c:spPr>
          </c:marker>
          <c:dLbls>
            <c:dLbl>
              <c:idx val="0"/>
              <c:tx>
                <c:rich>
                  <a:bodyPr/>
                  <a:lstStyle/>
                  <a:p>
                    <a:fld id="{6082FF06-B7CD-4578-B5C3-1782C2DC08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D4B-4623-AFB5-A687FED0E2CB}"/>
                </c:ext>
              </c:extLst>
            </c:dLbl>
            <c:dLbl>
              <c:idx val="1"/>
              <c:layout>
                <c:manualLayout>
                  <c:x val="-3.3730520508930155E-2"/>
                  <c:y val="2.8282828282828285E-2"/>
                </c:manualLayout>
              </c:layout>
              <c:tx>
                <c:rich>
                  <a:bodyPr/>
                  <a:lstStyle/>
                  <a:p>
                    <a:fld id="{B670C9EF-3DA7-4610-AB2A-784C01F08D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8D4B-4623-AFB5-A687FED0E2CB}"/>
                </c:ext>
              </c:extLst>
            </c:dLbl>
            <c:dLbl>
              <c:idx val="2"/>
              <c:tx>
                <c:rich>
                  <a:bodyPr/>
                  <a:lstStyle/>
                  <a:p>
                    <a:fld id="{B6A15676-F9D7-4BE9-9B6D-B3EEDC4478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D4B-4623-AFB5-A687FED0E2CB}"/>
                </c:ext>
              </c:extLst>
            </c:dLbl>
            <c:dLbl>
              <c:idx val="3"/>
              <c:layout>
                <c:manualLayout>
                  <c:x val="-5.8661774798139409E-2"/>
                  <c:y val="2.4242424242424242E-2"/>
                </c:manualLayout>
              </c:layout>
              <c:tx>
                <c:rich>
                  <a:bodyPr/>
                  <a:lstStyle/>
                  <a:p>
                    <a:fld id="{9DB3BE7E-508B-4D60-832C-7CD88C8BF4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8D4B-4623-AFB5-A687FED0E2CB}"/>
                </c:ext>
              </c:extLst>
            </c:dLbl>
            <c:dLbl>
              <c:idx val="4"/>
              <c:tx>
                <c:rich>
                  <a:bodyPr/>
                  <a:lstStyle/>
                  <a:p>
                    <a:fld id="{52C86ED7-BE90-442F-9167-5F6120724C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D4B-4623-AFB5-A687FED0E2CB}"/>
                </c:ext>
              </c:extLst>
            </c:dLbl>
            <c:dLbl>
              <c:idx val="5"/>
              <c:layout>
                <c:manualLayout>
                  <c:x val="-4.252978672865107E-2"/>
                  <c:y val="2.8282828282828208E-2"/>
                </c:manualLayout>
              </c:layout>
              <c:tx>
                <c:rich>
                  <a:bodyPr/>
                  <a:lstStyle/>
                  <a:p>
                    <a:fld id="{568ED391-EDDA-4C75-9261-B97F07F9D9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8D4B-4623-AFB5-A687FED0E2CB}"/>
                </c:ext>
              </c:extLst>
            </c:dLbl>
            <c:dLbl>
              <c:idx val="6"/>
              <c:tx>
                <c:rich>
                  <a:bodyPr/>
                  <a:lstStyle/>
                  <a:p>
                    <a:fld id="{BA37CA99-121C-4E63-A622-724E7ED45D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D4B-4623-AFB5-A687FED0E2CB}"/>
                </c:ext>
              </c:extLst>
            </c:dLbl>
            <c:dLbl>
              <c:idx val="7"/>
              <c:tx>
                <c:rich>
                  <a:bodyPr/>
                  <a:lstStyle/>
                  <a:p>
                    <a:fld id="{75774A68-A031-4540-B5DE-145858BF54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D4B-4623-AFB5-A687FED0E2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Data'!$M$13:$M$20</c:f>
              <c:numCache>
                <c:formatCode>General</c:formatCode>
                <c:ptCount val="8"/>
                <c:pt idx="0">
                  <c:v>154</c:v>
                </c:pt>
                <c:pt idx="1">
                  <c:v>158</c:v>
                </c:pt>
                <c:pt idx="2">
                  <c:v>158</c:v>
                </c:pt>
                <c:pt idx="3">
                  <c:v>168</c:v>
                </c:pt>
                <c:pt idx="4">
                  <c:v>161</c:v>
                </c:pt>
                <c:pt idx="5">
                  <c:v>174</c:v>
                </c:pt>
                <c:pt idx="6">
                  <c:v>143</c:v>
                </c:pt>
                <c:pt idx="7">
                  <c:v>170</c:v>
                </c:pt>
              </c:numCache>
            </c:numRef>
          </c:xVal>
          <c:yVal>
            <c:numRef>
              <c:f>'September 2023 Data'!$L$13:$L$20</c:f>
              <c:numCache>
                <c:formatCode>General</c:formatCode>
                <c:ptCount val="8"/>
                <c:pt idx="0">
                  <c:v>180</c:v>
                </c:pt>
                <c:pt idx="1">
                  <c:v>184</c:v>
                </c:pt>
                <c:pt idx="2">
                  <c:v>186</c:v>
                </c:pt>
                <c:pt idx="3">
                  <c:v>189</c:v>
                </c:pt>
                <c:pt idx="4">
                  <c:v>184</c:v>
                </c:pt>
                <c:pt idx="5">
                  <c:v>189</c:v>
                </c:pt>
                <c:pt idx="6">
                  <c:v>175</c:v>
                </c:pt>
                <c:pt idx="7">
                  <c:v>183</c:v>
                </c:pt>
              </c:numCache>
            </c:numRef>
          </c:yVal>
          <c:smooth val="0"/>
          <c:extLst>
            <c:ext xmlns:c15="http://schemas.microsoft.com/office/drawing/2012/chart" uri="{02D57815-91ED-43cb-92C2-25804820EDAC}">
              <c15:datalabelsRange>
                <c15:f>'September 2023 Data'!$A$13:$A$20</c15:f>
                <c15:dlblRangeCache>
                  <c:ptCount val="8"/>
                  <c:pt idx="0">
                    <c:v>Meisei</c:v>
                  </c:pt>
                  <c:pt idx="1">
                    <c:v>Hokutofuji</c:v>
                  </c:pt>
                  <c:pt idx="2">
                    <c:v>Abi</c:v>
                  </c:pt>
                  <c:pt idx="3">
                    <c:v>Asanoyama</c:v>
                  </c:pt>
                  <c:pt idx="4">
                    <c:v>Shodai</c:v>
                  </c:pt>
                  <c:pt idx="5">
                    <c:v>Tamawashi</c:v>
                  </c:pt>
                  <c:pt idx="6">
                    <c:v>Ura</c:v>
                  </c:pt>
                  <c:pt idx="7">
                    <c:v>Takanosho</c:v>
                  </c:pt>
                </c15:dlblRangeCache>
              </c15:datalabelsRange>
            </c:ext>
            <c:ext xmlns:c16="http://schemas.microsoft.com/office/drawing/2014/chart" uri="{C3380CC4-5D6E-409C-BE32-E72D297353CC}">
              <c16:uniqueId val="{00000015-8D4B-4623-AFB5-A687FED0E2CB}"/>
            </c:ext>
          </c:extLst>
        </c:ser>
        <c:ser>
          <c:idx val="5"/>
          <c:order val="5"/>
          <c:tx>
            <c:v>M05-08</c:v>
          </c:tx>
          <c:spPr>
            <a:ln w="25400" cap="rnd">
              <a:noFill/>
              <a:round/>
            </a:ln>
            <a:effectLst/>
          </c:spPr>
          <c:marker>
            <c:symbol val="circle"/>
            <c:size val="8"/>
            <c:spPr>
              <a:solidFill>
                <a:schemeClr val="accent2">
                  <a:alpha val="28000"/>
                </a:schemeClr>
              </a:solidFill>
              <a:ln w="9525">
                <a:solidFill>
                  <a:schemeClr val="tx1">
                    <a:lumMod val="50000"/>
                    <a:lumOff val="50000"/>
                  </a:schemeClr>
                </a:solidFill>
              </a:ln>
              <a:effectLst/>
            </c:spPr>
          </c:marker>
          <c:dLbls>
            <c:dLbl>
              <c:idx val="0"/>
              <c:tx>
                <c:rich>
                  <a:bodyPr/>
                  <a:lstStyle/>
                  <a:p>
                    <a:fld id="{049B080E-4029-46A7-ACAD-457D66D556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D4B-4623-AFB5-A687FED0E2CB}"/>
                </c:ext>
              </c:extLst>
            </c:dLbl>
            <c:dLbl>
              <c:idx val="1"/>
              <c:tx>
                <c:rich>
                  <a:bodyPr/>
                  <a:lstStyle/>
                  <a:p>
                    <a:fld id="{2F26DAEA-5D37-4CA8-9FED-A74847680A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D4B-4623-AFB5-A687FED0E2CB}"/>
                </c:ext>
              </c:extLst>
            </c:dLbl>
            <c:dLbl>
              <c:idx val="2"/>
              <c:tx>
                <c:rich>
                  <a:bodyPr/>
                  <a:lstStyle/>
                  <a:p>
                    <a:fld id="{5D2F9513-C314-48BF-ACBF-BF30A351A8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D4B-4623-AFB5-A687FED0E2CB}"/>
                </c:ext>
              </c:extLst>
            </c:dLbl>
            <c:dLbl>
              <c:idx val="3"/>
              <c:layout>
                <c:manualLayout>
                  <c:x val="-3.8130153618790665E-2"/>
                  <c:y val="-2.2222222222222296E-2"/>
                </c:manualLayout>
              </c:layout>
              <c:tx>
                <c:rich>
                  <a:bodyPr/>
                  <a:lstStyle/>
                  <a:p>
                    <a:fld id="{45F65D7F-E5C0-4FA9-A7BD-3F9A59BEE1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D4B-4623-AFB5-A687FED0E2CB}"/>
                </c:ext>
              </c:extLst>
            </c:dLbl>
            <c:dLbl>
              <c:idx val="4"/>
              <c:tx>
                <c:rich>
                  <a:bodyPr/>
                  <a:lstStyle/>
                  <a:p>
                    <a:fld id="{7A67FCBB-CD53-41D0-9C8A-B258453104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D4B-4623-AFB5-A687FED0E2CB}"/>
                </c:ext>
              </c:extLst>
            </c:dLbl>
            <c:dLbl>
              <c:idx val="5"/>
              <c:tx>
                <c:rich>
                  <a:bodyPr/>
                  <a:lstStyle/>
                  <a:p>
                    <a:fld id="{9640AA68-8B68-459A-88DD-D597E10D03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D4B-4623-AFB5-A687FED0E2CB}"/>
                </c:ext>
              </c:extLst>
            </c:dLbl>
            <c:dLbl>
              <c:idx val="6"/>
              <c:tx>
                <c:rich>
                  <a:bodyPr/>
                  <a:lstStyle/>
                  <a:p>
                    <a:fld id="{A4F46622-8364-42D7-9993-8AFE5717FF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D4B-4623-AFB5-A687FED0E2CB}"/>
                </c:ext>
              </c:extLst>
            </c:dLbl>
            <c:dLbl>
              <c:idx val="7"/>
              <c:tx>
                <c:rich>
                  <a:bodyPr/>
                  <a:lstStyle/>
                  <a:p>
                    <a:fld id="{83AD3C85-4799-4166-A325-628B47EB7F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D4B-4623-AFB5-A687FED0E2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Data'!$M$21:$M$28</c:f>
              <c:numCache>
                <c:formatCode>General</c:formatCode>
                <c:ptCount val="8"/>
                <c:pt idx="0">
                  <c:v>154</c:v>
                </c:pt>
                <c:pt idx="1">
                  <c:v>186</c:v>
                </c:pt>
                <c:pt idx="2">
                  <c:v>165</c:v>
                </c:pt>
                <c:pt idx="3">
                  <c:v>155</c:v>
                </c:pt>
                <c:pt idx="4">
                  <c:v>179</c:v>
                </c:pt>
                <c:pt idx="5">
                  <c:v>183</c:v>
                </c:pt>
                <c:pt idx="6">
                  <c:v>135</c:v>
                </c:pt>
                <c:pt idx="7">
                  <c:v>133</c:v>
                </c:pt>
              </c:numCache>
            </c:numRef>
          </c:xVal>
          <c:yVal>
            <c:numRef>
              <c:f>'September 2023 Data'!$L$21:$L$28</c:f>
              <c:numCache>
                <c:formatCode>General</c:formatCode>
                <c:ptCount val="8"/>
                <c:pt idx="0">
                  <c:v>177</c:v>
                </c:pt>
                <c:pt idx="1">
                  <c:v>193</c:v>
                </c:pt>
                <c:pt idx="2">
                  <c:v>177</c:v>
                </c:pt>
                <c:pt idx="3">
                  <c:v>188</c:v>
                </c:pt>
                <c:pt idx="4">
                  <c:v>190</c:v>
                </c:pt>
                <c:pt idx="5">
                  <c:v>188</c:v>
                </c:pt>
                <c:pt idx="6">
                  <c:v>177</c:v>
                </c:pt>
                <c:pt idx="7">
                  <c:v>176</c:v>
                </c:pt>
              </c:numCache>
            </c:numRef>
          </c:yVal>
          <c:smooth val="0"/>
          <c:extLst>
            <c:ext xmlns:c15="http://schemas.microsoft.com/office/drawing/2012/chart" uri="{02D57815-91ED-43cb-92C2-25804820EDAC}">
              <c15:datalabelsRange>
                <c15:f>'September 2023 Data'!$A$21:$A$28</c15:f>
                <c15:dlblRangeCache>
                  <c:ptCount val="8"/>
                  <c:pt idx="0">
                    <c:v>Gonoyama</c:v>
                  </c:pt>
                  <c:pt idx="1">
                    <c:v>Shonannoumi</c:v>
                  </c:pt>
                  <c:pt idx="2">
                    <c:v>Onosho</c:v>
                  </c:pt>
                  <c:pt idx="3">
                    <c:v>Ryuden</c:v>
                  </c:pt>
                  <c:pt idx="4">
                    <c:v>Oho</c:v>
                  </c:pt>
                  <c:pt idx="5">
                    <c:v>Takayasu</c:v>
                  </c:pt>
                  <c:pt idx="6">
                    <c:v>Hiradoumi</c:v>
                  </c:pt>
                  <c:pt idx="7">
                    <c:v>Kotoeko</c:v>
                  </c:pt>
                </c15:dlblRangeCache>
              </c15:datalabelsRange>
            </c:ext>
            <c:ext xmlns:c16="http://schemas.microsoft.com/office/drawing/2014/chart" uri="{C3380CC4-5D6E-409C-BE32-E72D297353CC}">
              <c16:uniqueId val="{0000001E-8D4B-4623-AFB5-A687FED0E2CB}"/>
            </c:ext>
          </c:extLst>
        </c:ser>
        <c:ser>
          <c:idx val="6"/>
          <c:order val="6"/>
          <c:tx>
            <c:v>M09-12</c:v>
          </c:tx>
          <c:spPr>
            <a:ln w="25400" cap="rnd">
              <a:noFill/>
              <a:round/>
            </a:ln>
            <a:effectLst/>
          </c:spPr>
          <c:marker>
            <c:symbol val="circle"/>
            <c:size val="5"/>
            <c:spPr>
              <a:solidFill>
                <a:schemeClr val="accent2">
                  <a:alpha val="52000"/>
                </a:schemeClr>
              </a:solidFill>
              <a:ln w="9525">
                <a:solidFill>
                  <a:schemeClr val="accent1">
                    <a:lumMod val="60000"/>
                  </a:schemeClr>
                </a:solidFill>
              </a:ln>
              <a:effectLst/>
            </c:spPr>
          </c:marker>
          <c:dLbls>
            <c:dLbl>
              <c:idx val="0"/>
              <c:tx>
                <c:rich>
                  <a:bodyPr/>
                  <a:lstStyle/>
                  <a:p>
                    <a:fld id="{C57EBFC5-01EE-435B-B361-9BA335DCDC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D4B-4623-AFB5-A687FED0E2CB}"/>
                </c:ext>
              </c:extLst>
            </c:dLbl>
            <c:dLbl>
              <c:idx val="1"/>
              <c:layout>
                <c:manualLayout>
                  <c:x val="-1.1732354959627881E-2"/>
                  <c:y val="2.2222222222222223E-2"/>
                </c:manualLayout>
              </c:layout>
              <c:tx>
                <c:rich>
                  <a:bodyPr/>
                  <a:lstStyle/>
                  <a:p>
                    <a:fld id="{C9C9A86F-650D-46E0-B241-677481E429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8D4B-4623-AFB5-A687FED0E2CB}"/>
                </c:ext>
              </c:extLst>
            </c:dLbl>
            <c:dLbl>
              <c:idx val="2"/>
              <c:tx>
                <c:rich>
                  <a:bodyPr/>
                  <a:lstStyle/>
                  <a:p>
                    <a:fld id="{28F160DF-2D61-420F-85C7-61DCE5467B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D4B-4623-AFB5-A687FED0E2CB}"/>
                </c:ext>
              </c:extLst>
            </c:dLbl>
            <c:dLbl>
              <c:idx val="3"/>
              <c:tx>
                <c:rich>
                  <a:bodyPr/>
                  <a:lstStyle/>
                  <a:p>
                    <a:fld id="{C4B61193-9590-4AA3-9163-D7406752C5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D4B-4623-AFB5-A687FED0E2CB}"/>
                </c:ext>
              </c:extLst>
            </c:dLbl>
            <c:dLbl>
              <c:idx val="4"/>
              <c:tx>
                <c:rich>
                  <a:bodyPr/>
                  <a:lstStyle/>
                  <a:p>
                    <a:fld id="{466185B4-16BD-42D1-910C-13160648D5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D4B-4623-AFB5-A687FED0E2CB}"/>
                </c:ext>
              </c:extLst>
            </c:dLbl>
            <c:dLbl>
              <c:idx val="5"/>
              <c:tx>
                <c:rich>
                  <a:bodyPr/>
                  <a:lstStyle/>
                  <a:p>
                    <a:fld id="{5178466E-2035-4EAF-840E-AFE45EE228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D4B-4623-AFB5-A687FED0E2CB}"/>
                </c:ext>
              </c:extLst>
            </c:dLbl>
            <c:dLbl>
              <c:idx val="6"/>
              <c:layout>
                <c:manualLayout>
                  <c:x val="-1.7598532439441823E-2"/>
                  <c:y val="2.0202020202020127E-2"/>
                </c:manualLayout>
              </c:layout>
              <c:tx>
                <c:rich>
                  <a:bodyPr/>
                  <a:lstStyle/>
                  <a:p>
                    <a:fld id="{592441DE-6C75-44D1-AFA2-612BA60C72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8D4B-4623-AFB5-A687FED0E2CB}"/>
                </c:ext>
              </c:extLst>
            </c:dLbl>
            <c:dLbl>
              <c:idx val="7"/>
              <c:tx>
                <c:rich>
                  <a:bodyPr/>
                  <a:lstStyle/>
                  <a:p>
                    <a:fld id="{EA028E66-CF57-40C2-9C70-4A03A74F9A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D4B-4623-AFB5-A687FED0E2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Data'!$M$29:$M$36</c:f>
              <c:numCache>
                <c:formatCode>General</c:formatCode>
                <c:ptCount val="8"/>
                <c:pt idx="0">
                  <c:v>116</c:v>
                </c:pt>
                <c:pt idx="1">
                  <c:v>162</c:v>
                </c:pt>
                <c:pt idx="2">
                  <c:v>181</c:v>
                </c:pt>
                <c:pt idx="3">
                  <c:v>150</c:v>
                </c:pt>
                <c:pt idx="4">
                  <c:v>170</c:v>
                </c:pt>
                <c:pt idx="5">
                  <c:v>185</c:v>
                </c:pt>
                <c:pt idx="6">
                  <c:v>142</c:v>
                </c:pt>
                <c:pt idx="7">
                  <c:v>171</c:v>
                </c:pt>
              </c:numCache>
            </c:numRef>
          </c:xVal>
          <c:yVal>
            <c:numRef>
              <c:f>'September 2023 Data'!$L$29:$L$36</c:f>
              <c:numCache>
                <c:formatCode>General</c:formatCode>
                <c:ptCount val="8"/>
                <c:pt idx="0">
                  <c:v>171</c:v>
                </c:pt>
                <c:pt idx="1">
                  <c:v>181</c:v>
                </c:pt>
                <c:pt idx="2">
                  <c:v>192</c:v>
                </c:pt>
                <c:pt idx="3">
                  <c:v>184</c:v>
                </c:pt>
                <c:pt idx="4">
                  <c:v>179</c:v>
                </c:pt>
                <c:pt idx="5">
                  <c:v>204</c:v>
                </c:pt>
                <c:pt idx="6">
                  <c:v>182</c:v>
                </c:pt>
                <c:pt idx="7">
                  <c:v>186</c:v>
                </c:pt>
              </c:numCache>
            </c:numRef>
          </c:yVal>
          <c:smooth val="0"/>
          <c:extLst>
            <c:ext xmlns:c15="http://schemas.microsoft.com/office/drawing/2012/chart" uri="{02D57815-91ED-43cb-92C2-25804820EDAC}">
              <c15:datalabelsRange>
                <c15:f>'September 2023 Data'!$A$29:$A$36</c15:f>
                <c15:dlblRangeCache>
                  <c:ptCount val="8"/>
                  <c:pt idx="0">
                    <c:v>Midorifuji</c:v>
                  </c:pt>
                  <c:pt idx="1">
                    <c:v>Hakuoho</c:v>
                  </c:pt>
                  <c:pt idx="2">
                    <c:v>Kinbozan</c:v>
                  </c:pt>
                  <c:pt idx="3">
                    <c:v>Endo</c:v>
                  </c:pt>
                  <c:pt idx="4">
                    <c:v>Mitakeumi</c:v>
                  </c:pt>
                  <c:pt idx="5">
                    <c:v>Hokuseiho</c:v>
                  </c:pt>
                  <c:pt idx="6">
                    <c:v>Sadanoumi</c:v>
                  </c:pt>
                  <c:pt idx="7">
                    <c:v>Takarafuji</c:v>
                  </c:pt>
                </c15:dlblRangeCache>
              </c15:datalabelsRange>
            </c:ext>
            <c:ext xmlns:c16="http://schemas.microsoft.com/office/drawing/2014/chart" uri="{C3380CC4-5D6E-409C-BE32-E72D297353CC}">
              <c16:uniqueId val="{00000027-8D4B-4623-AFB5-A687FED0E2CB}"/>
            </c:ext>
          </c:extLst>
        </c:ser>
        <c:ser>
          <c:idx val="7"/>
          <c:order val="7"/>
          <c:tx>
            <c:v>M13-17</c:v>
          </c:tx>
          <c:spPr>
            <a:ln w="25400" cap="rnd">
              <a:noFill/>
              <a:round/>
            </a:ln>
            <a:effectLst/>
          </c:spPr>
          <c:marker>
            <c:symbol val="circle"/>
            <c:size val="4"/>
            <c:spPr>
              <a:solidFill>
                <a:schemeClr val="tx2">
                  <a:lumMod val="40000"/>
                  <a:lumOff val="60000"/>
                  <a:alpha val="48000"/>
                </a:schemeClr>
              </a:solidFill>
              <a:ln w="9525">
                <a:solidFill>
                  <a:schemeClr val="bg2">
                    <a:lumMod val="75000"/>
                  </a:schemeClr>
                </a:solidFill>
              </a:ln>
              <a:effectLst/>
            </c:spPr>
          </c:marker>
          <c:dLbls>
            <c:dLbl>
              <c:idx val="0"/>
              <c:layout>
                <c:manualLayout>
                  <c:x val="-2.4931254289209302E-2"/>
                  <c:y val="2.0202020202020204E-2"/>
                </c:manualLayout>
              </c:layout>
              <c:tx>
                <c:rich>
                  <a:bodyPr/>
                  <a:lstStyle/>
                  <a:p>
                    <a:fld id="{7653A1FA-0D9F-436C-BD93-D34931A1A1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8D4B-4623-AFB5-A687FED0E2CB}"/>
                </c:ext>
              </c:extLst>
            </c:dLbl>
            <c:dLbl>
              <c:idx val="1"/>
              <c:layout>
                <c:manualLayout>
                  <c:x val="-1.4665443699534314E-3"/>
                  <c:y val="-4.0404040404041141E-3"/>
                </c:manualLayout>
              </c:layout>
              <c:tx>
                <c:rich>
                  <a:bodyPr/>
                  <a:lstStyle/>
                  <a:p>
                    <a:fld id="{8C75EE8F-D3D6-4C42-B39F-196E97C927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8D4B-4623-AFB5-A687FED0E2CB}"/>
                </c:ext>
              </c:extLst>
            </c:dLbl>
            <c:dLbl>
              <c:idx val="2"/>
              <c:tx>
                <c:rich>
                  <a:bodyPr/>
                  <a:lstStyle/>
                  <a:p>
                    <a:fld id="{7B01C524-C896-41E5-9AC7-A30D5C9C03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8D4B-4623-AFB5-A687FED0E2CB}"/>
                </c:ext>
              </c:extLst>
            </c:dLbl>
            <c:dLbl>
              <c:idx val="3"/>
              <c:tx>
                <c:rich>
                  <a:bodyPr/>
                  <a:lstStyle/>
                  <a:p>
                    <a:fld id="{257E5910-2A7A-42C7-8603-7A17EAA296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8D4B-4623-AFB5-A687FED0E2CB}"/>
                </c:ext>
              </c:extLst>
            </c:dLbl>
            <c:dLbl>
              <c:idx val="4"/>
              <c:layout>
                <c:manualLayout>
                  <c:x val="-4.3996331098604527E-2"/>
                  <c:y val="2.8282828282828285E-2"/>
                </c:manualLayout>
              </c:layout>
              <c:tx>
                <c:rich>
                  <a:bodyPr/>
                  <a:lstStyle/>
                  <a:p>
                    <a:fld id="{E93211E2-63F1-4425-946B-9319780CCE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8D4B-4623-AFB5-A687FED0E2CB}"/>
                </c:ext>
              </c:extLst>
            </c:dLbl>
            <c:dLbl>
              <c:idx val="5"/>
              <c:layout>
                <c:manualLayout>
                  <c:x val="-2.3464709919255762E-2"/>
                  <c:y val="1.6161616161616162E-2"/>
                </c:manualLayout>
              </c:layout>
              <c:tx>
                <c:rich>
                  <a:bodyPr/>
                  <a:lstStyle/>
                  <a:p>
                    <a:fld id="{37290D89-D17F-4A37-A3B8-9924AC9E9B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8D4B-4623-AFB5-A687FED0E2CB}"/>
                </c:ext>
              </c:extLst>
            </c:dLbl>
            <c:dLbl>
              <c:idx val="6"/>
              <c:layout>
                <c:manualLayout>
                  <c:x val="-2.6397798659162839E-2"/>
                  <c:y val="3.0303030303030228E-2"/>
                </c:manualLayout>
              </c:layout>
              <c:tx>
                <c:rich>
                  <a:bodyPr/>
                  <a:lstStyle/>
                  <a:p>
                    <a:fld id="{74C2B839-F626-4BB0-8FCF-FDDDFE226E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8D4B-4623-AFB5-A687FED0E2CB}"/>
                </c:ext>
              </c:extLst>
            </c:dLbl>
            <c:dLbl>
              <c:idx val="7"/>
              <c:tx>
                <c:rich>
                  <a:bodyPr/>
                  <a:lstStyle/>
                  <a:p>
                    <a:fld id="{CB11380E-FF09-4C44-A6FD-FA82EA491F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8D4B-4623-AFB5-A687FED0E2CB}"/>
                </c:ext>
              </c:extLst>
            </c:dLbl>
            <c:dLbl>
              <c:idx val="8"/>
              <c:tx>
                <c:rich>
                  <a:bodyPr/>
                  <a:lstStyle/>
                  <a:p>
                    <a:fld id="{01C6EFA3-354A-4CC5-B7AF-1C6BFBCECE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8D4B-4623-AFB5-A687FED0E2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2023 Data'!$M$37:$M$45</c:f>
              <c:numCache>
                <c:formatCode>General</c:formatCode>
                <c:ptCount val="9"/>
                <c:pt idx="0">
                  <c:v>149</c:v>
                </c:pt>
                <c:pt idx="1">
                  <c:v>156</c:v>
                </c:pt>
                <c:pt idx="2">
                  <c:v>161</c:v>
                </c:pt>
                <c:pt idx="3">
                  <c:v>186</c:v>
                </c:pt>
                <c:pt idx="4">
                  <c:v>137</c:v>
                </c:pt>
                <c:pt idx="5">
                  <c:v>176</c:v>
                </c:pt>
                <c:pt idx="6">
                  <c:v>194</c:v>
                </c:pt>
                <c:pt idx="7">
                  <c:v>156</c:v>
                </c:pt>
                <c:pt idx="8">
                  <c:v>196</c:v>
                </c:pt>
              </c:numCache>
            </c:numRef>
          </c:xVal>
          <c:yVal>
            <c:numRef>
              <c:f>'September 2023 Data'!$L$37:$L$45</c:f>
              <c:numCache>
                <c:formatCode>General</c:formatCode>
                <c:ptCount val="9"/>
                <c:pt idx="0">
                  <c:v>184</c:v>
                </c:pt>
                <c:pt idx="1">
                  <c:v>188</c:v>
                </c:pt>
                <c:pt idx="2">
                  <c:v>191</c:v>
                </c:pt>
                <c:pt idx="3">
                  <c:v>191</c:v>
                </c:pt>
                <c:pt idx="4">
                  <c:v>184</c:v>
                </c:pt>
                <c:pt idx="5">
                  <c:v>185</c:v>
                </c:pt>
                <c:pt idx="6">
                  <c:v>185</c:v>
                </c:pt>
                <c:pt idx="7">
                  <c:v>193</c:v>
                </c:pt>
                <c:pt idx="8">
                  <c:v>185</c:v>
                </c:pt>
              </c:numCache>
            </c:numRef>
          </c:yVal>
          <c:smooth val="0"/>
          <c:extLst>
            <c:ext xmlns:c15="http://schemas.microsoft.com/office/drawing/2012/chart" uri="{02D57815-91ED-43cb-92C2-25804820EDAC}">
              <c15:datalabelsRange>
                <c15:f>'September 2023 Data'!$A$37:$A$45</c15:f>
                <c15:dlblRangeCache>
                  <c:ptCount val="9"/>
                  <c:pt idx="0">
                    <c:v>Nishikifuji</c:v>
                  </c:pt>
                  <c:pt idx="1">
                    <c:v>Myogiryu</c:v>
                  </c:pt>
                  <c:pt idx="2">
                    <c:v>Kotoshoho</c:v>
                  </c:pt>
                  <c:pt idx="3">
                    <c:v>Aoiyama</c:v>
                  </c:pt>
                  <c:pt idx="4">
                    <c:v>Chiyoshoma</c:v>
                  </c:pt>
                  <c:pt idx="5">
                    <c:v>Atamifuji</c:v>
                  </c:pt>
                  <c:pt idx="6">
                    <c:v>Tsurugisho</c:v>
                  </c:pt>
                  <c:pt idx="7">
                    <c:v>Kagayaki</c:v>
                  </c:pt>
                  <c:pt idx="8">
                    <c:v>Daishoho</c:v>
                  </c:pt>
                </c15:dlblRangeCache>
              </c15:datalabelsRange>
            </c:ext>
            <c:ext xmlns:c16="http://schemas.microsoft.com/office/drawing/2014/chart" uri="{C3380CC4-5D6E-409C-BE32-E72D297353CC}">
              <c16:uniqueId val="{00000031-8D4B-4623-AFB5-A687FED0E2CB}"/>
            </c:ext>
          </c:extLst>
        </c:ser>
        <c:ser>
          <c:idx val="8"/>
          <c:order val="8"/>
          <c:tx>
            <c:strRef>
              <c:f>'September 2023 Data'!$A$58</c:f>
              <c:strCache>
                <c:ptCount val="1"/>
                <c:pt idx="0">
                  <c:v>Trump (reported)</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3-8D4B-4623-AFB5-A687FED0E2C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'September 2023 Data'!$M$58</c:f>
              <c:numCache>
                <c:formatCode>General</c:formatCode>
                <c:ptCount val="1"/>
                <c:pt idx="0">
                  <c:v>97.5</c:v>
                </c:pt>
              </c:numCache>
            </c:numRef>
          </c:xVal>
          <c:yVal>
            <c:numRef>
              <c:f>'September 2023 Data'!$L$58</c:f>
              <c:numCache>
                <c:formatCode>General</c:formatCode>
                <c:ptCount val="1"/>
                <c:pt idx="0">
                  <c:v>190.5</c:v>
                </c:pt>
              </c:numCache>
            </c:numRef>
          </c:yVal>
          <c:smooth val="0"/>
          <c:extLst>
            <c:ext xmlns:c16="http://schemas.microsoft.com/office/drawing/2014/chart" uri="{C3380CC4-5D6E-409C-BE32-E72D297353CC}">
              <c16:uniqueId val="{00000032-8D4B-4623-AFB5-A687FED0E2CB}"/>
            </c:ext>
          </c:extLst>
        </c:ser>
        <c:dLbls>
          <c:showLegendKey val="0"/>
          <c:showVal val="0"/>
          <c:showCatName val="0"/>
          <c:showSerName val="0"/>
          <c:showPercent val="0"/>
          <c:showBubbleSize val="0"/>
        </c:dLbls>
        <c:axId val="745971600"/>
        <c:axId val="745971928"/>
      </c:scatterChart>
      <c:valAx>
        <c:axId val="745971600"/>
        <c:scaling>
          <c:orientation val="minMax"/>
          <c:max val="205"/>
          <c:min val="9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882810056060102"/>
          <c:h val="0.306820329277022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0"/>
    <c:plotArea>
      <c:layout/>
      <c:barChart>
        <c:barDir val="col"/>
        <c:grouping val="clustered"/>
        <c:varyColors val="0"/>
        <c:dLbls>
          <c:showLegendKey val="0"/>
          <c:showVal val="0"/>
          <c:showCatName val="0"/>
          <c:showSerName val="0"/>
          <c:showPercent val="0"/>
          <c:showBubbleSize val="0"/>
        </c:dLbls>
        <c:gapWidth val="150"/>
        <c:axId val="1"/>
        <c:axId val="2"/>
      </c:barChart>
      <c:catAx>
        <c:axId val="1"/>
        <c:scaling>
          <c:orientation val="minMax"/>
        </c:scaling>
        <c:delete val="0"/>
        <c:axPos val="b"/>
        <c:majorTickMark val="out"/>
        <c:minorTickMark val="none"/>
        <c:tickLblPos val="nextTo"/>
        <c:crossAx val="2"/>
        <c:crosses val="autoZero"/>
        <c:auto val="1"/>
        <c:lblAlgn val="ctr"/>
        <c:lblOffset val="100"/>
        <c:noMultiLvlLbl val="0"/>
      </c:catAx>
      <c:valAx>
        <c:axId val="2"/>
        <c:scaling>
          <c:orientation val="minMax"/>
        </c:scaling>
        <c:delete val="0"/>
        <c:axPos val="l"/>
        <c:majorGridlines/>
        <c:majorTickMark val="out"/>
        <c:minorTickMark val="none"/>
        <c:tickLblPos val="nextTo"/>
        <c:crossAx val="1"/>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September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119183306339276E-2"/>
          <c:y val="7.494954525971776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41272CD4-64CD-41F3-94F3-7846DF4C3E7D}"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{41272CD4-64CD-41F3-94F3-7846DF4C3E7D}</c15:txfldGUID>
                      <c15:f>'September 2022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35-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'September 2022 Data'!$F$4</c:f>
              <c:numCache>
                <c:formatCode>General</c:formatCode>
                <c:ptCount val="1"/>
                <c:pt idx="0">
                  <c:v>181</c:v>
                </c:pt>
              </c:numCache>
            </c:numRef>
          </c:xVal>
          <c:yVal>
            <c:numRef>
              <c:f>'September 2022 Data'!$E$4</c:f>
              <c:numCache>
                <c:formatCode>General</c:formatCode>
                <c:ptCount val="1"/>
                <c:pt idx="0">
                  <c:v>192</c:v>
                </c:pt>
              </c:numCache>
            </c:numRef>
          </c:yVal>
          <c:smooth val="0"/>
          <c:extLst>
            <c:ext xmlns:c16="http://schemas.microsoft.com/office/drawing/2014/chart" uri="{C3380CC4-5D6E-409C-BE32-E72D297353CC}">
              <c16:uniqueId val="{0000002D-A485-42A7-BF7D-0B686981A7EC}"/>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418F3C39-60DE-4596-B067-AE0164AB78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A485-42A7-BF7D-0B686981A7EC}"/>
                </c:ext>
              </c:extLst>
            </c:dLbl>
            <c:dLbl>
              <c:idx val="1"/>
              <c:tx>
                <c:rich>
                  <a:bodyPr/>
                  <a:lstStyle/>
                  <a:p>
                    <a:fld id="{50024F66-3E35-47DA-900B-80E19CE994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A485-42A7-BF7D-0B686981A7EC}"/>
                </c:ext>
              </c:extLst>
            </c:dLbl>
            <c:dLbl>
              <c:idx val="2"/>
              <c:tx>
                <c:rich>
                  <a:bodyPr/>
                  <a:lstStyle/>
                  <a:p>
                    <a:fld id="{473B544B-18DC-4FAC-B6A3-980883CC74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Data'!$F$5:$F$7</c:f>
              <c:numCache>
                <c:formatCode>General</c:formatCode>
                <c:ptCount val="3"/>
                <c:pt idx="0">
                  <c:v>163</c:v>
                </c:pt>
                <c:pt idx="1">
                  <c:v>171</c:v>
                </c:pt>
                <c:pt idx="2">
                  <c:v>162</c:v>
                </c:pt>
              </c:numCache>
            </c:numRef>
          </c:xVal>
          <c:yVal>
            <c:numRef>
              <c:f>'September 2022 Data'!$E$5:$E$7</c:f>
              <c:numCache>
                <c:formatCode>General</c:formatCode>
                <c:ptCount val="3"/>
                <c:pt idx="0">
                  <c:v>175</c:v>
                </c:pt>
                <c:pt idx="1">
                  <c:v>179</c:v>
                </c:pt>
                <c:pt idx="2">
                  <c:v>183</c:v>
                </c:pt>
              </c:numCache>
            </c:numRef>
          </c:yVal>
          <c:smooth val="0"/>
          <c:extLst>
            <c:ext xmlns:c15="http://schemas.microsoft.com/office/drawing/2012/chart" uri="{02D57815-91ED-43cb-92C2-25804820EDAC}">
              <c15:datalabelsRange>
                <c15:f>'September 2022 Data'!$A$5:$A$7</c15:f>
                <c15:dlblRangeCache>
                  <c:ptCount val="3"/>
                  <c:pt idx="0">
                    <c:v>Takakeisho</c:v>
                  </c:pt>
                  <c:pt idx="1">
                    <c:v>Mitakeumi</c:v>
                  </c:pt>
                  <c:pt idx="2">
                    <c:v>Shodai</c:v>
                  </c:pt>
                </c15:dlblRangeCache>
              </c15:datalabelsRange>
            </c:ext>
            <c:ext xmlns:c16="http://schemas.microsoft.com/office/drawing/2014/chart" uri="{C3380CC4-5D6E-409C-BE32-E72D297353CC}">
              <c16:uniqueId val="{0000002E-A485-42A7-BF7D-0B686981A7EC}"/>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D74BC5B0-96CA-470B-A0E7-1FFDA86009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A485-42A7-BF7D-0B686981A7EC}"/>
                </c:ext>
              </c:extLst>
            </c:dLbl>
            <c:dLbl>
              <c:idx val="1"/>
              <c:layout>
                <c:manualLayout>
                  <c:x val="-0.11429114683193387"/>
                  <c:y val="-1.8165136827343633E-2"/>
                </c:manualLayout>
              </c:layout>
              <c:tx>
                <c:rich>
                  <a:bodyPr/>
                  <a:lstStyle/>
                  <a:p>
                    <a:fld id="{103304AA-232C-433B-9233-774D28A88D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A485-42A7-BF7D-0B686981A7EC}"/>
                </c:ext>
              </c:extLst>
            </c:dLbl>
            <c:dLbl>
              <c:idx val="2"/>
              <c:tx>
                <c:rich>
                  <a:bodyPr/>
                  <a:lstStyle/>
                  <a:p>
                    <a:fld id="{25A5B4B2-0685-4437-9B5C-09FEF03DFD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Data'!$F$8:$F$10</c:f>
              <c:numCache>
                <c:formatCode>General</c:formatCode>
                <c:ptCount val="3"/>
                <c:pt idx="0">
                  <c:v>161</c:v>
                </c:pt>
                <c:pt idx="1">
                  <c:v>132</c:v>
                </c:pt>
                <c:pt idx="2">
                  <c:v>140</c:v>
                </c:pt>
              </c:numCache>
            </c:numRef>
          </c:xVal>
          <c:yVal>
            <c:numRef>
              <c:f>'September 2022 Data'!$E$8:$E$10</c:f>
              <c:numCache>
                <c:formatCode>General</c:formatCode>
                <c:ptCount val="3"/>
                <c:pt idx="0">
                  <c:v>182</c:v>
                </c:pt>
                <c:pt idx="1">
                  <c:v>183</c:v>
                </c:pt>
                <c:pt idx="2">
                  <c:v>185</c:v>
                </c:pt>
              </c:numCache>
            </c:numRef>
          </c:yVal>
          <c:smooth val="0"/>
          <c:extLst>
            <c:ext xmlns:c15="http://schemas.microsoft.com/office/drawing/2012/chart" uri="{02D57815-91ED-43cb-92C2-25804820EDAC}">
              <c15:datalabelsRange>
                <c15:f>'September 2022 Data'!$A$8:$A$10</c15:f>
                <c15:dlblRangeCache>
                  <c:ptCount val="3"/>
                  <c:pt idx="0">
                    <c:v>Daieisho</c:v>
                  </c:pt>
                  <c:pt idx="1">
                    <c:v>Wakatakakage</c:v>
                  </c:pt>
                  <c:pt idx="2">
                    <c:v>Hoshoryu</c:v>
                  </c:pt>
                </c15:dlblRangeCache>
              </c15:datalabelsRange>
            </c:ext>
            <c:ext xmlns:c16="http://schemas.microsoft.com/office/drawing/2014/chart" uri="{C3380CC4-5D6E-409C-BE32-E72D297353CC}">
              <c16:uniqueId val="{0000002F-A485-42A7-BF7D-0B686981A7EC}"/>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layout>
                <c:manualLayout>
                  <c:x val="-0.11575641794516378"/>
                  <c:y val="-8.0733941454860583E-3"/>
                </c:manualLayout>
              </c:layout>
              <c:tx>
                <c:rich>
                  <a:bodyPr/>
                  <a:lstStyle/>
                  <a:p>
                    <a:fld id="{D52172E7-7C7C-4D48-8E27-61C67DEF69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A485-42A7-BF7D-0B686981A7EC}"/>
                </c:ext>
              </c:extLst>
            </c:dLbl>
            <c:dLbl>
              <c:idx val="1"/>
              <c:layout>
                <c:manualLayout>
                  <c:x val="-5.2749760076277172E-2"/>
                  <c:y val="-3.027522804557272E-2"/>
                </c:manualLayout>
              </c:layout>
              <c:tx>
                <c:rich>
                  <a:bodyPr/>
                  <a:lstStyle/>
                  <a:p>
                    <a:fld id="{4585652D-29B3-4781-8101-C546551376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A485-42A7-BF7D-0B686981A7EC}"/>
                </c:ext>
              </c:extLst>
            </c:dLbl>
            <c:dLbl>
              <c:idx val="2"/>
              <c:tx>
                <c:rich>
                  <a:bodyPr/>
                  <a:lstStyle/>
                  <a:p>
                    <a:fld id="{FC8201D0-736A-4D4C-A46B-2AC1843490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A485-42A7-BF7D-0B686981A7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'September 2022 Data'!$F$11:$F$13</c:f>
              <c:numCache>
                <c:formatCode>General</c:formatCode>
                <c:ptCount val="3"/>
                <c:pt idx="0">
                  <c:v>138</c:v>
                </c:pt>
                <c:pt idx="1">
                  <c:v>151</c:v>
                </c:pt>
                <c:pt idx="2">
                  <c:v>212</c:v>
                </c:pt>
              </c:numCache>
            </c:numRef>
          </c:xVal>
          <c:yVal>
            <c:numRef>
              <c:f>'September 2022 Data'!$E$11:$E$13</c:f>
              <c:numCache>
                <c:formatCode>General</c:formatCode>
                <c:ptCount val="3"/>
                <c:pt idx="0">
                  <c:v>185</c:v>
                </c:pt>
                <c:pt idx="1">
                  <c:v>187</c:v>
                </c:pt>
                <c:pt idx="2">
                  <c:v>190</c:v>
                </c:pt>
              </c:numCache>
            </c:numRef>
          </c:yVal>
          <c:smooth val="0"/>
          <c:extLst>
            <c:ext xmlns:c15="http://schemas.microsoft.com/office/drawing/2012/chart" uri="{02D57815-91ED-43cb-92C2-25804820EDAC}">
              <c15:datalabelsRange>
                <c15:f>'September 2022 Data'!$A$11:$A$13</c15:f>
                <c15:dlblRangeCache>
                  <c:ptCount val="3"/>
                  <c:pt idx="0">
                    <c:v>Kiribayama</c:v>
                  </c:pt>
                  <c:pt idx="1">
                    <c:v>Abi</c:v>
                  </c:pt>
                  <c:pt idx="2">
                    <c:v>Ichinojo</c:v>
                  </c:pt>
                </c15:dlblRangeCache>
              </c15:datalabelsRange>
            </c:ext>
            <c:ext xmlns:c16="http://schemas.microsoft.com/office/drawing/2014/chart" uri="{C3380CC4-5D6E-409C-BE32-E72D297353CC}">
              <c16:uniqueId val="{00000030-A485-42A7-BF7D-0B686981A7EC}"/>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xVal>
            <c:numRef>
              <c:f>'September 2022 Data'!$F$14:$F$21</c:f>
              <c:numCache>
                <c:formatCode>General</c:formatCode>
                <c:ptCount val="8"/>
                <c:pt idx="0">
                  <c:v>114</c:v>
                </c:pt>
                <c:pt idx="1">
                  <c:v>133</c:v>
                </c:pt>
                <c:pt idx="2">
                  <c:v>153</c:v>
                </c:pt>
                <c:pt idx="3">
                  <c:v>167</c:v>
                </c:pt>
                <c:pt idx="4">
                  <c:v>151</c:v>
                </c:pt>
                <c:pt idx="5">
                  <c:v>174</c:v>
                </c:pt>
                <c:pt idx="6">
                  <c:v>170</c:v>
                </c:pt>
                <c:pt idx="7">
                  <c:v>182</c:v>
                </c:pt>
              </c:numCache>
            </c:numRef>
          </c:xVal>
          <c:yVal>
            <c:numRef>
              <c:f>'September 2022 Data'!$E$14:$E$21</c:f>
              <c:numCache>
                <c:formatCode>General</c:formatCode>
                <c:ptCount val="8"/>
                <c:pt idx="0">
                  <c:v>171</c:v>
                </c:pt>
                <c:pt idx="1">
                  <c:v>174</c:v>
                </c:pt>
                <c:pt idx="2">
                  <c:v>180</c:v>
                </c:pt>
                <c:pt idx="3">
                  <c:v>189</c:v>
                </c:pt>
                <c:pt idx="4">
                  <c:v>175</c:v>
                </c:pt>
                <c:pt idx="5">
                  <c:v>189</c:v>
                </c:pt>
                <c:pt idx="6">
                  <c:v>184</c:v>
                </c:pt>
                <c:pt idx="7">
                  <c:v>186</c:v>
                </c:pt>
              </c:numCache>
            </c:numRef>
          </c:yVal>
          <c:smooth val="0"/>
          <c:extLst>
            <c:ext xmlns:c16="http://schemas.microsoft.com/office/drawing/2014/chart" uri="{C3380CC4-5D6E-409C-BE32-E72D297353CC}">
              <c16:uniqueId val="{00000031-A485-42A7-BF7D-0B686981A7EC}"/>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xVal>
            <c:numRef>
              <c:f>'September 2022 Data'!$F$23:$F$29</c:f>
              <c:numCache>
                <c:formatCode>General</c:formatCode>
                <c:ptCount val="7"/>
                <c:pt idx="0">
                  <c:v>166</c:v>
                </c:pt>
                <c:pt idx="1">
                  <c:v>149</c:v>
                </c:pt>
                <c:pt idx="2">
                  <c:v>135</c:v>
                </c:pt>
                <c:pt idx="3">
                  <c:v>162</c:v>
                </c:pt>
                <c:pt idx="4">
                  <c:v>186</c:v>
                </c:pt>
                <c:pt idx="5">
                  <c:v>161</c:v>
                </c:pt>
                <c:pt idx="6">
                  <c:v>179</c:v>
                </c:pt>
              </c:numCache>
            </c:numRef>
          </c:xVal>
          <c:yVal>
            <c:numRef>
              <c:f>'September 2022 Data'!$E$23:$E$29</c:f>
              <c:numCache>
                <c:formatCode>General</c:formatCode>
                <c:ptCount val="7"/>
                <c:pt idx="0">
                  <c:v>186</c:v>
                </c:pt>
                <c:pt idx="1">
                  <c:v>183</c:v>
                </c:pt>
                <c:pt idx="2">
                  <c:v>186</c:v>
                </c:pt>
                <c:pt idx="3">
                  <c:v>178</c:v>
                </c:pt>
                <c:pt idx="4">
                  <c:v>190</c:v>
                </c:pt>
                <c:pt idx="5">
                  <c:v>184</c:v>
                </c:pt>
                <c:pt idx="6">
                  <c:v>192</c:v>
                </c:pt>
              </c:numCache>
            </c:numRef>
          </c:yVal>
          <c:smooth val="0"/>
          <c:extLst>
            <c:ext xmlns:c16="http://schemas.microsoft.com/office/drawing/2014/chart" uri="{C3380CC4-5D6E-409C-BE32-E72D297353CC}">
              <c16:uniqueId val="{00000032-A485-42A7-BF7D-0B686981A7EC}"/>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xVal>
            <c:numRef>
              <c:f>'September 2022 Data'!$F$30:$F$37</c:f>
              <c:numCache>
                <c:formatCode>General</c:formatCode>
                <c:ptCount val="8"/>
                <c:pt idx="0">
                  <c:v>131</c:v>
                </c:pt>
                <c:pt idx="1">
                  <c:v>154</c:v>
                </c:pt>
                <c:pt idx="2">
                  <c:v>148</c:v>
                </c:pt>
                <c:pt idx="3">
                  <c:v>167</c:v>
                </c:pt>
                <c:pt idx="4">
                  <c:v>189</c:v>
                </c:pt>
                <c:pt idx="5">
                  <c:v>158</c:v>
                </c:pt>
                <c:pt idx="6">
                  <c:v>154</c:v>
                </c:pt>
                <c:pt idx="7">
                  <c:v>156</c:v>
                </c:pt>
              </c:numCache>
            </c:numRef>
          </c:xVal>
          <c:yVal>
            <c:numRef>
              <c:f>'September 2022 Data'!$E$30:$E$37</c:f>
              <c:numCache>
                <c:formatCode>General</c:formatCode>
                <c:ptCount val="8"/>
                <c:pt idx="0">
                  <c:v>176</c:v>
                </c:pt>
                <c:pt idx="1">
                  <c:v>189</c:v>
                </c:pt>
                <c:pt idx="2">
                  <c:v>184</c:v>
                </c:pt>
                <c:pt idx="3">
                  <c:v>184</c:v>
                </c:pt>
                <c:pt idx="4">
                  <c:v>181</c:v>
                </c:pt>
                <c:pt idx="5">
                  <c:v>189</c:v>
                </c:pt>
                <c:pt idx="6">
                  <c:v>187</c:v>
                </c:pt>
                <c:pt idx="7">
                  <c:v>189</c:v>
                </c:pt>
              </c:numCache>
            </c:numRef>
          </c:yVal>
          <c:smooth val="0"/>
          <c:extLst>
            <c:ext xmlns:c16="http://schemas.microsoft.com/office/drawing/2014/chart" uri="{C3380CC4-5D6E-409C-BE32-E72D297353CC}">
              <c16:uniqueId val="{00000033-A485-42A7-BF7D-0B686981A7EC}"/>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xVal>
            <c:numRef>
              <c:f>'September 2022 Data'!$F$38:$F$45</c:f>
              <c:numCache>
                <c:formatCode>General</c:formatCode>
                <c:ptCount val="8"/>
                <c:pt idx="0">
                  <c:v>145</c:v>
                </c:pt>
                <c:pt idx="1">
                  <c:v>176</c:v>
                </c:pt>
                <c:pt idx="2">
                  <c:v>135</c:v>
                </c:pt>
                <c:pt idx="3">
                  <c:v>181</c:v>
                </c:pt>
                <c:pt idx="4">
                  <c:v>107</c:v>
                </c:pt>
                <c:pt idx="5">
                  <c:v>200</c:v>
                </c:pt>
                <c:pt idx="6">
                  <c:v>135</c:v>
                </c:pt>
                <c:pt idx="7">
                  <c:v>197</c:v>
                </c:pt>
              </c:numCache>
            </c:numRef>
          </c:xVal>
          <c:yVal>
            <c:numRef>
              <c:f>'September 2022 Data'!$E$38:$E$45</c:f>
              <c:numCache>
                <c:formatCode>General</c:formatCode>
                <c:ptCount val="8"/>
                <c:pt idx="0">
                  <c:v>187</c:v>
                </c:pt>
                <c:pt idx="1">
                  <c:v>189</c:v>
                </c:pt>
                <c:pt idx="2">
                  <c:v>183</c:v>
                </c:pt>
                <c:pt idx="3">
                  <c:v>185</c:v>
                </c:pt>
                <c:pt idx="4">
                  <c:v>169</c:v>
                </c:pt>
                <c:pt idx="5">
                  <c:v>184</c:v>
                </c:pt>
                <c:pt idx="6">
                  <c:v>178</c:v>
                </c:pt>
                <c:pt idx="7">
                  <c:v>190</c:v>
                </c:pt>
              </c:numCache>
            </c:numRef>
          </c:yVal>
          <c:smooth val="0"/>
          <c:extLst>
            <c:ext xmlns:c16="http://schemas.microsoft.com/office/drawing/2014/chart" uri="{C3380CC4-5D6E-409C-BE32-E72D297353CC}">
              <c16:uniqueId val="{00000034-A485-42A7-BF7D-0B686981A7EC}"/>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AC8A717C-03E2-483A-A39C-819D73D608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'November 2022 Data'!$G$4</c:f>
              <c:numCache>
                <c:formatCode>General</c:formatCode>
                <c:ptCount val="1"/>
                <c:pt idx="0">
                  <c:v>192</c:v>
                </c:pt>
              </c:numCache>
            </c:numRef>
          </c:yVal>
          <c:smooth val="0"/>
          <c:extLst>
            <c:ext xmlns:c15="http://schemas.microsoft.com/office/drawing/2012/char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2B1-499D-A3F4-C6E47E426E27}"/>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E38127A0-AD57-45D1-B0DC-5CBB4B459B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B1-499D-A3F4-C6E47E426E27}"/>
                </c:ext>
              </c:extLst>
            </c:dLbl>
            <c:dLbl>
              <c:idx val="1"/>
              <c:tx>
                <c:rich>
                  <a:bodyPr/>
                  <a:lstStyle/>
                  <a:p>
                    <a:fld id="{4C4F06A4-C4B3-437E-9F81-43E3288C48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Data'!$H$5:$H$6</c:f>
              <c:numCache>
                <c:formatCode>General</c:formatCode>
                <c:ptCount val="2"/>
                <c:pt idx="0">
                  <c:v>163</c:v>
                </c:pt>
                <c:pt idx="1">
                  <c:v>162</c:v>
                </c:pt>
              </c:numCache>
            </c:numRef>
          </c:xVal>
          <c:yVal>
            <c:numRef>
              <c:f>'November 2022 Data'!$G$5:$G$6</c:f>
              <c:numCache>
                <c:formatCode>General</c:formatCode>
                <c:ptCount val="2"/>
                <c:pt idx="0">
                  <c:v>175</c:v>
                </c:pt>
                <c:pt idx="1">
                  <c:v>183</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5-B2B1-499D-A3F4-C6E47E426E27}"/>
            </c:ext>
          </c:extLst>
        </c:ser>
        <c:ser>
          <c:idx val="2"/>
          <c:order val="2"/>
          <c:tx>
            <c:strRef>
              <c:f>'September 2022 Data'!$C$8</c:f>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5DFAD8CC-5B76-47A8-AEA3-D399416B22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B1-499D-A3F4-C6E47E426E27}"/>
                </c:ext>
              </c:extLst>
            </c:dLbl>
            <c:dLbl>
              <c:idx val="1"/>
              <c:layout>
                <c:manualLayout>
                  <c:x val="-5.2768396024273002E-2"/>
                  <c:y val="5.0493098905404959E-2"/>
                </c:manualLayout>
              </c:layout>
              <c:tx>
                <c:rich>
                  <a:bodyPr/>
                  <a:lstStyle/>
                  <a:p>
                    <a:fld id="{94B3391B-B6A7-4499-9EA5-25E448AE55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2B1-499D-A3F4-C6E47E426E27}"/>
                </c:ext>
              </c:extLst>
            </c:dLbl>
            <c:dLbl>
              <c:idx val="2"/>
              <c:tx>
                <c:rich>
                  <a:bodyPr/>
                  <a:lstStyle/>
                  <a:p>
                    <a:fld id="{73F47C27-72C3-4698-BC54-7A9699C3F9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Data'!$H$7:$H$9</c:f>
              <c:numCache>
                <c:formatCode>General</c:formatCode>
                <c:ptCount val="3"/>
                <c:pt idx="0">
                  <c:v>171</c:v>
                </c:pt>
                <c:pt idx="1">
                  <c:v>132</c:v>
                </c:pt>
                <c:pt idx="2">
                  <c:v>140</c:v>
                </c:pt>
              </c:numCache>
            </c:numRef>
          </c:xVal>
          <c:yVal>
            <c:numRef>
              <c:f>'November 2022 Data'!$G$7:$G$9</c:f>
              <c:numCache>
                <c:formatCode>General</c:formatCode>
                <c:ptCount val="3"/>
                <c:pt idx="0">
                  <c:v>179</c:v>
                </c:pt>
                <c:pt idx="1">
                  <c:v>183</c:v>
                </c:pt>
                <c:pt idx="2">
                  <c:v>185</c:v>
                </c:pt>
              </c:numCache>
            </c:numRef>
          </c:yVal>
          <c:smooth val="0"/>
          <c:extLs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9-B2B1-499D-A3F4-C6E47E426E27}"/>
            </c:ext>
          </c:extLst>
        </c:ser>
        <c:ser>
          <c:idx val="3"/>
          <c:order val="3"/>
          <c:tx>
            <c:strRef>
              <c:f>'September 2022 Data'!$C$11</c:f>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30C06EE2-5B95-4E3C-BFF9-795172EE15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B1-499D-A3F4-C6E47E426E27}"/>
                </c:ext>
              </c:extLst>
            </c:dLbl>
            <c:dLbl>
              <c:idx val="1"/>
              <c:layout>
                <c:manualLayout>
                  <c:x val="-0.10846836960545009"/>
                  <c:y val="-2.019644439525012E-3"/>
                </c:manualLayout>
              </c:layout>
              <c:tx>
                <c:rich>
                  <a:bodyPr/>
                  <a:lstStyle/>
                  <a:p>
                    <a:fld id="{0B0001AB-EF7F-4418-841E-BD04C15568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B-B2B1-499D-A3F4-C6E47E426E27}"/>
                </c:ext>
              </c:extLst>
            </c:dLbl>
            <c:dLbl>
              <c:idx val="2"/>
              <c:tx>
                <c:rich>
                  <a:bodyPr/>
                  <a:lstStyle/>
                  <a:p>
                    <a:fld id="{0E827A48-04F5-4A35-A84F-3907217524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B1-499D-A3F4-C6E47E426E27}"/>
                </c:ext>
              </c:extLst>
            </c:dLbl>
            <c:dLbl>
              <c:idx val="3"/>
              <c:layout>
                <c:manualLayout>
                  <c:x val="-1.7589465341424332E-2"/>
                  <c:y val="3.2315583299459189E-2"/>
                </c:manualLayout>
              </c:layout>
              <c:tx>
                <c:rich>
                  <a:bodyPr/>
                  <a:lstStyle/>
                  <a:p>
                    <a:fld id="{FD4CD4F7-EA3B-407D-911E-889C575A3B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Data'!$H$10:$H$13</c:f>
              <c:numCache>
                <c:formatCode>General</c:formatCode>
                <c:ptCount val="4"/>
                <c:pt idx="0">
                  <c:v>161</c:v>
                </c:pt>
                <c:pt idx="1">
                  <c:v>138</c:v>
                </c:pt>
                <c:pt idx="2">
                  <c:v>133</c:v>
                </c:pt>
                <c:pt idx="3">
                  <c:v>174</c:v>
                </c:pt>
              </c:numCache>
            </c:numRef>
          </c:xVal>
          <c:yVal>
            <c:numRef>
              <c:f>'November 2022 Data'!$G$10:$G$13</c:f>
              <c:numCache>
                <c:formatCode>General</c:formatCode>
                <c:ptCount val="4"/>
                <c:pt idx="0">
                  <c:v>182</c:v>
                </c:pt>
                <c:pt idx="1">
                  <c:v>185</c:v>
                </c:pt>
                <c:pt idx="2">
                  <c:v>174</c:v>
                </c:pt>
                <c:pt idx="3">
                  <c:v>189</c:v>
                </c:pt>
              </c:numCache>
            </c:numRef>
          </c:yVal>
          <c:smooth val="0"/>
          <c:extLs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2B1-499D-A3F4-C6E47E426E27}"/>
            </c:ext>
          </c:extLst>
        </c:ser>
        <c: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85353FDB-CD3D-4935-9D36-7AF3F59057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B1-499D-A3F4-C6E47E426E27}"/>
                </c:ext>
              </c:extLst>
            </c:dLbl>
            <c:dLbl>
              <c:idx val="1"/>
              <c:tx>
                <c:rich>
                  <a:bodyPr/>
                  <a:lstStyle/>
                  <a:p>
                    <a:fld id="{2B0B9528-D53D-4C03-A810-3F85615785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B1-499D-A3F4-C6E47E426E27}"/>
                </c:ext>
              </c:extLst>
            </c:dLbl>
            <c:dLbl>
              <c:idx val="2"/>
              <c:tx>
                <c:rich>
                  <a:bodyPr/>
                  <a:lstStyle/>
                  <a:p>
                    <a:fld id="{F0EB7872-A923-4CC1-BC80-DE0D64AB5A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B1-499D-A3F4-C6E47E426E27}"/>
                </c:ext>
              </c:extLst>
            </c:dLbl>
            <c:dLbl>
              <c:idx val="3"/>
              <c:tx>
                <c:rich>
                  <a:bodyPr/>
                  <a:lstStyle/>
                  <a:p>
                    <a:fld id="{3B6C3C47-C808-4FCC-B361-31D80F5BB7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B1-499D-A3F4-C6E47E426E27}"/>
                </c:ext>
              </c:extLst>
            </c:dLbl>
            <c:dLbl>
              <c:idx val="4"/>
              <c:tx>
                <c:rich>
                  <a:bodyPr/>
                  <a:lstStyle/>
                  <a:p>
                    <a:fld id="{BF60906C-F2CE-4A8F-9873-96B06DC05F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B1-499D-A3F4-C6E47E426E27}"/>
                </c:ext>
              </c:extLst>
            </c:dLbl>
            <c:dLbl>
              <c:idx val="5"/>
              <c:tx>
                <c:rich>
                  <a:bodyPr/>
                  <a:lstStyle/>
                  <a:p>
                    <a:fld id="{6F154AE4-B9CF-448A-8CF1-334654C8A2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B1-499D-A3F4-C6E47E426E27}"/>
                </c:ext>
              </c:extLst>
            </c:dLbl>
            <c:dLbl>
              <c:idx val="6"/>
              <c:tx>
                <c:rich>
                  <a:bodyPr/>
                  <a:lstStyle/>
                  <a:p>
                    <a:fld id="{CC16BA27-7209-497F-B334-7842B1FE94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B1-499D-A3F4-C6E47E426E27}"/>
                </c:ext>
              </c:extLst>
            </c:dLbl>
            <c:dLbl>
              <c:idx val="7"/>
              <c:tx>
                <c:rich>
                  <a:bodyPr/>
                  <a:lstStyle/>
                  <a:p>
                    <a:fld id="{0D646998-F5BF-43EB-B44A-0AE40437F9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Data'!$H$14:$H$21</c:f>
              <c:numCache>
                <c:formatCode>General</c:formatCode>
                <c:ptCount val="8"/>
                <c:pt idx="0">
                  <c:v>167</c:v>
                </c:pt>
                <c:pt idx="1">
                  <c:v>182</c:v>
                </c:pt>
                <c:pt idx="2">
                  <c:v>212</c:v>
                </c:pt>
                <c:pt idx="3">
                  <c:v>153</c:v>
                </c:pt>
                <c:pt idx="4">
                  <c:v>114</c:v>
                </c:pt>
                <c:pt idx="5">
                  <c:v>151</c:v>
                </c:pt>
                <c:pt idx="6">
                  <c:v>141</c:v>
                </c:pt>
                <c:pt idx="7">
                  <c:v>135</c:v>
                </c:pt>
              </c:numCache>
            </c:numRef>
          </c:xVal>
          <c:yVal>
            <c:numRef>
              <c:f>'November 2022 Data'!$G$14:$G$21</c:f>
              <c:numCache>
                <c:formatCode>General</c:formatCode>
                <c:ptCount val="8"/>
                <c:pt idx="0">
                  <c:v>189</c:v>
                </c:pt>
                <c:pt idx="1">
                  <c:v>186</c:v>
                </c:pt>
                <c:pt idx="2">
                  <c:v>190</c:v>
                </c:pt>
                <c:pt idx="3">
                  <c:v>180</c:v>
                </c:pt>
                <c:pt idx="4">
                  <c:v>171</c:v>
                </c:pt>
                <c:pt idx="5">
                  <c:v>175</c:v>
                </c:pt>
                <c:pt idx="6">
                  <c:v>182</c:v>
                </c:pt>
                <c:pt idx="7">
                  <c:v>186</c:v>
                </c:pt>
              </c:numCache>
            </c:numRef>
          </c:yVal>
          <c:smooth val="0"/>
          <c:extLs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0E-B2B1-499D-A3F4-C6E47E426E27}"/>
            </c:ext>
          </c:extLst>
        </c:ser>
        <c: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8768CE76-750B-41F1-920A-971ADBEF29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2B1-499D-A3F4-C6E47E426E27}"/>
                </c:ext>
              </c:extLst>
            </c:dLbl>
            <c:dLbl>
              <c:idx val="1"/>
              <c:tx>
                <c:rich>
                  <a:bodyPr/>
                  <a:lstStyle/>
                  <a:p>
                    <a:fld id="{C7E0B0FE-B6C9-4252-85CA-08AB1193B7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2B1-499D-A3F4-C6E47E426E27}"/>
                </c:ext>
              </c:extLst>
            </c:dLbl>
            <c:dLbl>
              <c:idx val="2"/>
              <c:layout>
                <c:manualLayout>
                  <c:x val="1.7589465341424332E-2"/>
                  <c:y val="4.443392703675636E-2"/>
                </c:manualLayout>
              </c:layout>
              <c:tx>
                <c:rich>
                  <a:bodyPr/>
                  <a:lstStyle/>
                  <a:p>
                    <a:fld id="{F1F88896-1DA1-44EF-A95C-A26410309C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D-B2B1-499D-A3F4-C6E47E426E27}"/>
                </c:ext>
              </c:extLst>
            </c:dLbl>
            <c:dLbl>
              <c:idx val="3"/>
              <c:layout>
                <c:manualLayout>
                  <c:x val="1.4657887784519741E-3"/>
                  <c:y val="1.6157791649729612E-2"/>
                </c:manualLayout>
              </c:layout>
              <c:tx>
                <c:rich>
                  <a:bodyPr/>
                  <a:lstStyle/>
                  <a:p>
                    <a:fld id="{771A903B-5DA5-4FF0-8917-CA15AB0CA4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B2B1-499D-A3F4-C6E47E426E27}"/>
                </c:ext>
              </c:extLst>
            </c:dLbl>
            <c:dLbl>
              <c:idx val="4"/>
              <c:tx>
                <c:rich>
                  <a:bodyPr/>
                  <a:lstStyle/>
                  <a:p>
                    <a:fld id="{43774978-282B-45EF-800D-B7183202C6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2B1-499D-A3F4-C6E47E426E27}"/>
                </c:ext>
              </c:extLst>
            </c:dLbl>
            <c:dLbl>
              <c:idx val="5"/>
              <c:layout>
                <c:manualLayout>
                  <c:x val="-8.2084171593313604E-2"/>
                  <c:y val="0"/>
                </c:manualLayout>
              </c:layout>
              <c:tx>
                <c:rich>
                  <a:bodyPr/>
                  <a:lstStyle/>
                  <a:p>
                    <a:fld id="{7A7DE80D-568B-4FB4-A22C-611DC4BD57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0-B2B1-499D-A3F4-C6E47E426E27}"/>
                </c:ext>
              </c:extLst>
            </c:dLbl>
            <c:dLbl>
              <c:idx val="6"/>
              <c:tx>
                <c:rich>
                  <a:bodyPr/>
                  <a:lstStyle/>
                  <a:p>
                    <a:fld id="{33D33FD0-C1ED-451E-A811-49431681A9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2B1-499D-A3F4-C6E47E426E27}"/>
                </c:ext>
              </c:extLst>
            </c:dLbl>
            <c:dLbl>
              <c:idx val="7"/>
              <c:layout>
                <c:manualLayout>
                  <c:x val="-4.1042085796656885E-2"/>
                  <c:y val="-4.0394479124324048E-2"/>
                </c:manualLayout>
              </c:layout>
              <c:tx>
                <c:rich>
                  <a:bodyPr/>
                  <a:lstStyle/>
                  <a:p>
                    <a:fld id="{8553F3EC-B44E-438E-841D-6BDD689B6B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Data'!$H$22:$H$29</c:f>
              <c:numCache>
                <c:formatCode>General</c:formatCode>
                <c:ptCount val="8"/>
                <c:pt idx="0">
                  <c:v>161</c:v>
                </c:pt>
                <c:pt idx="1">
                  <c:v>148</c:v>
                </c:pt>
                <c:pt idx="2">
                  <c:v>170</c:v>
                </c:pt>
                <c:pt idx="3">
                  <c:v>154</c:v>
                </c:pt>
                <c:pt idx="4">
                  <c:v>149</c:v>
                </c:pt>
                <c:pt idx="5">
                  <c:v>154</c:v>
                </c:pt>
                <c:pt idx="6">
                  <c:v>166</c:v>
                </c:pt>
                <c:pt idx="7">
                  <c:v>179</c:v>
                </c:pt>
              </c:numCache>
            </c:numRef>
          </c:xVal>
          <c:yVal>
            <c:numRef>
              <c:f>'November 2022 Data'!$G$22:$G$29</c:f>
              <c:numCache>
                <c:formatCode>General</c:formatCode>
                <c:ptCount val="8"/>
                <c:pt idx="0">
                  <c:v>184</c:v>
                </c:pt>
                <c:pt idx="1">
                  <c:v>184</c:v>
                </c:pt>
                <c:pt idx="2">
                  <c:v>184</c:v>
                </c:pt>
                <c:pt idx="3">
                  <c:v>187</c:v>
                </c:pt>
                <c:pt idx="4">
                  <c:v>183</c:v>
                </c:pt>
                <c:pt idx="5">
                  <c:v>189</c:v>
                </c:pt>
                <c:pt idx="6">
                  <c:v>186</c:v>
                </c:pt>
                <c:pt idx="7">
                  <c:v>192</c:v>
                </c:pt>
              </c:numCache>
            </c:numRef>
          </c:yVal>
          <c:smooth val="0"/>
          <c:extLs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0F-B2B1-499D-A3F4-C6E47E426E27}"/>
            </c:ext>
          </c:extLst>
        </c:ser>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073A9E4D-94D3-4678-A2FF-2A873C1A11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2B1-499D-A3F4-C6E47E426E27}"/>
                </c:ext>
              </c:extLst>
            </c:dLbl>
            <c:dLbl>
              <c:idx val="1"/>
              <c:layout>
                <c:manualLayout>
                  <c:x val="-5.3744967676788177E-17"/>
                  <c:y val="-2.6256411430810693E-2"/>
                </c:manualLayout>
              </c:layout>
              <c:tx>
                <c:rich>
                  <a:bodyPr/>
                  <a:lstStyle/>
                  <a:p>
                    <a:fld id="{AB991561-BBFB-43CD-A48A-32E59F6D13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2B1-499D-A3F4-C6E47E426E27}"/>
                </c:ext>
              </c:extLst>
            </c:dLbl>
            <c:dLbl>
              <c:idx val="2"/>
              <c:tx>
                <c:rich>
                  <a:bodyPr/>
                  <a:lstStyle/>
                  <a:p>
                    <a:fld id="{01035D29-AF47-4EA0-8F40-D9D4BF8BB5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B1-499D-A3F4-C6E47E426E27}"/>
                </c:ext>
              </c:extLst>
            </c:dLbl>
            <c:dLbl>
              <c:idx val="3"/>
              <c:tx>
                <c:rich>
                  <a:bodyPr/>
                  <a:lstStyle/>
                  <a:p>
                    <a:fld id="{BC232D02-6C3E-4865-952F-FA262B36DF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2B1-499D-A3F4-C6E47E426E27}"/>
                </c:ext>
              </c:extLst>
            </c:dLbl>
            <c:dLbl>
              <c:idx val="4"/>
              <c:tx>
                <c:rich>
                  <a:bodyPr/>
                  <a:lstStyle/>
                  <a:p>
                    <a:fld id="{511A24FA-7A2C-4950-B591-3378AF8BFF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2B1-499D-A3F4-C6E47E426E27}"/>
                </c:ext>
              </c:extLst>
            </c:dLbl>
            <c:dLbl>
              <c:idx val="5"/>
              <c:layout>
                <c:manualLayout>
                  <c:x val="-1.1726310227616277E-2"/>
                  <c:y val="3.0295859343243022E-2"/>
                </c:manualLayout>
              </c:layout>
              <c:tx>
                <c:rich>
                  <a:bodyPr/>
                  <a:lstStyle/>
                  <a:p>
                    <a:fld id="{4F2DB003-31BC-4AF9-9AF4-C708E0A00D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2B1-499D-A3F4-C6E47E426E27}"/>
                </c:ext>
              </c:extLst>
            </c:dLbl>
            <c:dLbl>
              <c:idx val="6"/>
              <c:tx>
                <c:rich>
                  <a:bodyPr/>
                  <a:lstStyle/>
                  <a:p>
                    <a:fld id="{E041769A-39DC-4367-B4A5-563E2B85B8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2B1-499D-A3F4-C6E47E426E27}"/>
                </c:ext>
              </c:extLst>
            </c:dLbl>
            <c:dLbl>
              <c:idx val="7"/>
              <c:tx>
                <c:rich>
                  <a:bodyPr/>
                  <a:lstStyle/>
                  <a:p>
                    <a:fld id="{385C4FA0-E4FB-4F7D-9B1E-1E20B7777F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10-B2B1-499D-A3F4-C6E47E426E27}"/>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9F8569CE-39C1-4297-8010-1FE419F424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B2B1-499D-A3F4-C6E47E426E27}"/>
                </c:ext>
              </c:extLst>
            </c:dLbl>
            <c:dLbl>
              <c:idx val="1"/>
              <c:layout>
                <c:manualLayout>
                  <c:x val="-5.8631551138081115E-3"/>
                  <c:y val="-3.4335307255675428E-2"/>
                </c:manualLayout>
              </c:layout>
              <c:tx>
                <c:rich>
                  <a:bodyPr/>
                  <a:lstStyle/>
                  <a:p>
                    <a:fld id="{F7964FB5-82C8-4A2E-AB07-D695FA4772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B2B1-499D-A3F4-C6E47E426E27}"/>
                </c:ext>
              </c:extLst>
            </c:dLbl>
            <c:dLbl>
              <c:idx val="2"/>
              <c:layout>
                <c:manualLayout>
                  <c:x val="-4.5439452132012913E-2"/>
                  <c:y val="-2.4236687474594454E-2"/>
                </c:manualLayout>
              </c:layout>
              <c:tx>
                <c:rich>
                  <a:bodyPr/>
                  <a:lstStyle/>
                  <a:p>
                    <a:fld id="{7B1E243D-62DF-4043-99E7-ABA8FA9B8C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B2B1-499D-A3F4-C6E47E426E27}"/>
                </c:ext>
              </c:extLst>
            </c:dLbl>
            <c:dLbl>
              <c:idx val="3"/>
              <c:tx>
                <c:rich>
                  <a:bodyPr/>
                  <a:lstStyle/>
                  <a:p>
                    <a:fld id="{1A17FA17-98C4-4B3B-9245-D681904B41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B1-499D-A3F4-C6E47E426E27}"/>
                </c:ext>
              </c:extLst>
            </c:dLbl>
            <c:dLbl>
              <c:idx val="4"/>
              <c:tx>
                <c:rich>
                  <a:bodyPr/>
                  <a:lstStyle/>
                  <a:p>
                    <a:fld id="{6BC8C823-A570-4B4D-B90C-7B7240C7E7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B1-499D-A3F4-C6E47E426E27}"/>
                </c:ext>
              </c:extLst>
            </c:dLbl>
            <c:dLbl>
              <c:idx val="5"/>
              <c:tx>
                <c:rich>
                  <a:bodyPr/>
                  <a:lstStyle/>
                  <a:p>
                    <a:fld id="{2DC3080F-A9BB-4C1B-95F3-D7AF2E94DB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B1-499D-A3F4-C6E47E426E27}"/>
                </c:ext>
              </c:extLst>
            </c:dLbl>
            <c:dLbl>
              <c:idx val="6"/>
              <c:tx>
                <c:rich>
                  <a:bodyPr/>
                  <a:lstStyle/>
                  <a:p>
                    <a:fld id="{AC85240F-F1CD-4361-8E53-08E32DA1A1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B1-499D-A3F4-C6E47E426E27}"/>
                </c:ext>
              </c:extLst>
            </c:dLbl>
            <c:dLbl>
              <c:idx val="7"/>
              <c:tx>
                <c:rich>
                  <a:bodyPr/>
                  <a:lstStyle/>
                  <a:p>
                    <a:fld id="{B0C7BCDB-F476-410F-B773-78BDAC2B6E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B1-499D-A3F4-C6E47E426E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11-B2B1-499D-A3F4-C6E47E426E27}"/>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November 2022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6"/>
          <c:order val="6"/>
          <c:tx>
            <c:v>M09-12</c:v>
          </c:tx>
          <c:spPr>
            <a:ln w="25400" cap="rnd">
              <a:noFill/>
              <a:round/>
            </a:ln>
            <a:effectLst/>
          </c:spPr>
          <c:marker>
            <c:symbol val="circle"/>
            <c:size val="5"/>
            <c:spPr>
              <a:solidFill>
                <a:schemeClr val="accent3">
                  <a:alpha val="57000"/>
                </a:schemeClr>
              </a:solidFill>
              <a:ln w="9525">
                <a:noFill/>
              </a:ln>
              <a:effectLst/>
            </c:spPr>
          </c:marker>
          <c:dLbls>
            <c:dLbl>
              <c:idx val="0"/>
              <c:layout>
                <c:manualLayout>
                  <c:x val="-1.3192099006068304E-2"/>
                  <c:y val="3.2315583299459223E-2"/>
                </c:manualLayout>
              </c:layout>
              <c:tx>
                <c:rich>
                  <a:bodyPr/>
                  <a:lstStyle/>
                  <a:p>
                    <a:fld id="{31505A22-495F-4E25-8DFA-5A3F7CC6BE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BC40-409B-8FF6-7A42A2E83035}"/>
                </c:ext>
              </c:extLst>
            </c:dLbl>
            <c:dLbl>
              <c:idx val="1"/>
              <c:layout>
                <c:manualLayout>
                  <c:x val="-5.3744967676788177E-17"/>
                  <c:y val="-2.6256411430810693E-2"/>
                </c:manualLayout>
              </c:layout>
              <c:tx>
                <c:rich>
                  <a:bodyPr/>
                  <a:lstStyle/>
                  <a:p>
                    <a:fld id="{6A0AC6C2-BE2B-4524-A613-3CAFF4C51A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C40-409B-8FF6-7A42A2E83035}"/>
                </c:ext>
              </c:extLst>
            </c:dLbl>
            <c:dLbl>
              <c:idx val="2"/>
              <c:tx>
                <c:rich>
                  <a:bodyPr/>
                  <a:lstStyle/>
                  <a:p>
                    <a:fld id="{547985F3-877A-4152-B87D-6A5A1A0FF1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C40-409B-8FF6-7A42A2E83035}"/>
                </c:ext>
              </c:extLst>
            </c:dLbl>
            <c:dLbl>
              <c:idx val="3"/>
              <c:tx>
                <c:rich>
                  <a:bodyPr/>
                  <a:lstStyle/>
                  <a:p>
                    <a:fld id="{BBFFA6C3-4A79-40C9-94C3-8AF9F483BB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C40-409B-8FF6-7A42A2E83035}"/>
                </c:ext>
              </c:extLst>
            </c:dLbl>
            <c:dLbl>
              <c:idx val="4"/>
              <c:tx>
                <c:rich>
                  <a:bodyPr/>
                  <a:lstStyle/>
                  <a:p>
                    <a:fld id="{A6588E40-81A7-40D5-A1A7-F3874A5FA1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C40-409B-8FF6-7A42A2E83035}"/>
                </c:ext>
              </c:extLst>
            </c:dLbl>
            <c:dLbl>
              <c:idx val="5"/>
              <c:layout>
                <c:manualLayout>
                  <c:x val="-1.1726310227616277E-2"/>
                  <c:y val="3.0295859343243022E-2"/>
                </c:manualLayout>
              </c:layout>
              <c:tx>
                <c:rich>
                  <a:bodyPr/>
                  <a:lstStyle/>
                  <a:p>
                    <a:fld id="{43B16FE2-1CA4-40EE-B404-B03918327D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C40-409B-8FF6-7A42A2E83035}"/>
                </c:ext>
              </c:extLst>
            </c:dLbl>
            <c:dLbl>
              <c:idx val="6"/>
              <c:tx>
                <c:rich>
                  <a:bodyPr/>
                  <a:lstStyle/>
                  <a:p>
                    <a:fld id="{F3B45032-6F2A-4DF2-8AF0-F9CE63B751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C40-409B-8FF6-7A42A2E83035}"/>
                </c:ext>
              </c:extLst>
            </c:dLbl>
            <c:dLbl>
              <c:idx val="7"/>
              <c:tx>
                <c:rich>
                  <a:bodyPr/>
                  <a:lstStyle/>
                  <a:p>
                    <a:fld id="{79B7D678-6312-40C2-A575-1F80E9C488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Data'!$H$30:$H$37</c:f>
              <c:numCache>
                <c:formatCode>General</c:formatCode>
                <c:ptCount val="8"/>
                <c:pt idx="0">
                  <c:v>151</c:v>
                </c:pt>
                <c:pt idx="1">
                  <c:v>167</c:v>
                </c:pt>
                <c:pt idx="2">
                  <c:v>186</c:v>
                </c:pt>
                <c:pt idx="3">
                  <c:v>135</c:v>
                </c:pt>
                <c:pt idx="4">
                  <c:v>162</c:v>
                </c:pt>
                <c:pt idx="5">
                  <c:v>158</c:v>
                </c:pt>
                <c:pt idx="6">
                  <c:v>131</c:v>
                </c:pt>
                <c:pt idx="7">
                  <c:v>189</c:v>
                </c:pt>
              </c:numCache>
            </c:numRef>
          </c:xVal>
          <c:yVal>
            <c:numRef>
              <c:f>'November 2022 Data'!$G$30:$G$37</c:f>
              <c:numCache>
                <c:formatCode>General</c:formatCode>
                <c:ptCount val="8"/>
                <c:pt idx="0">
                  <c:v>187</c:v>
                </c:pt>
                <c:pt idx="1">
                  <c:v>184</c:v>
                </c:pt>
                <c:pt idx="2">
                  <c:v>190</c:v>
                </c:pt>
                <c:pt idx="3">
                  <c:v>183</c:v>
                </c:pt>
                <c:pt idx="4">
                  <c:v>178</c:v>
                </c:pt>
                <c:pt idx="5">
                  <c:v>189</c:v>
                </c:pt>
                <c:pt idx="6">
                  <c:v>176</c:v>
                </c:pt>
                <c:pt idx="7">
                  <c:v>181</c:v>
                </c:pt>
              </c:numCache>
            </c:numRef>
          </c:yVal>
          <c:smooth val="0"/>
          <c:extLst>
            <c:ext xmlns:c15="http://schemas.microsoft.com/office/drawing/2012/chart" uri="{02D57815-91ED-43cb-92C2-25804820EDAC}">
              <c15:datalabelsRange>
                <c15:f>'November 2022 Data'!$A$30:$A$37</c15:f>
                <c15:dlblRangeCache>
                  <c:ptCount val="8"/>
                  <c:pt idx="0">
                    <c:v>Abi</c:v>
                  </c:pt>
                  <c:pt idx="1">
                    <c:v>Takanosho</c:v>
                  </c:pt>
                  <c:pt idx="2">
                    <c:v>Aoiyama</c:v>
                  </c:pt>
                  <c:pt idx="3">
                    <c:v>Chiyoshoma</c:v>
                  </c:pt>
                  <c:pt idx="4">
                    <c:v>Onosho</c:v>
                  </c:pt>
                  <c:pt idx="5">
                    <c:v>Kotoshoho</c:v>
                  </c:pt>
                  <c:pt idx="6">
                    <c:v>Kotoeko</c:v>
                  </c:pt>
                  <c:pt idx="7">
                    <c:v>Chiyotairyu</c:v>
                  </c:pt>
                </c15:dlblRangeCache>
              </c15:datalabelsRange>
            </c:ext>
            <c:ext xmlns:c16="http://schemas.microsoft.com/office/drawing/2014/chart" uri="{C3380CC4-5D6E-409C-BE32-E72D297353CC}">
              <c16:uniqueId val="{00000028-BC40-409B-8FF6-7A42A2E83035}"/>
            </c:ext>
          </c:extLst>
        </c:ser>
        <c:ser>
          <c:idx val="7"/>
          <c:order val="7"/>
          <c:tx>
            <c:v>M13-16</c:v>
          </c:tx>
          <c:spPr>
            <a:ln w="25400" cap="rnd">
              <a:noFill/>
              <a:round/>
            </a:ln>
            <a:effectLst/>
          </c:spPr>
          <c:marker>
            <c:symbol val="circle"/>
            <c:size val="5"/>
            <c:spPr>
              <a:solidFill>
                <a:schemeClr val="accent4">
                  <a:alpha val="48000"/>
                </a:schemeClr>
              </a:solidFill>
              <a:ln w="9525">
                <a:noFill/>
              </a:ln>
              <a:effectLst/>
            </c:spPr>
          </c:marker>
          <c:dLbls>
            <c:dLbl>
              <c:idx val="0"/>
              <c:layout>
                <c:manualLayout>
                  <c:x val="-3.0781564347492636E-2"/>
                  <c:y val="-3.0295859343243057E-2"/>
                </c:manualLayout>
              </c:layout>
              <c:tx>
                <c:rich>
                  <a:bodyPr/>
                  <a:lstStyle/>
                  <a:p>
                    <a:fld id="{12C02DCC-9FF3-405A-88E8-A119B45774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BC40-409B-8FF6-7A42A2E83035}"/>
                </c:ext>
              </c:extLst>
            </c:dLbl>
            <c:dLbl>
              <c:idx val="1"/>
              <c:layout>
                <c:manualLayout>
                  <c:x val="-5.8631551138081115E-3"/>
                  <c:y val="-3.4335307255675428E-2"/>
                </c:manualLayout>
              </c:layout>
              <c:tx>
                <c:rich>
                  <a:bodyPr/>
                  <a:lstStyle/>
                  <a:p>
                    <a:fld id="{2C06EB39-D257-4295-BBE6-DE68729932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BC40-409B-8FF6-7A42A2E83035}"/>
                </c:ext>
              </c:extLst>
            </c:dLbl>
            <c:dLbl>
              <c:idx val="2"/>
              <c:layout>
                <c:manualLayout>
                  <c:x val="-4.5439452132012913E-2"/>
                  <c:y val="-2.4236687474594454E-2"/>
                </c:manualLayout>
              </c:layout>
              <c:tx>
                <c:rich>
                  <a:bodyPr/>
                  <a:lstStyle/>
                  <a:p>
                    <a:fld id="{DB13B0F6-93F2-4277-9DEC-5121E86425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BC40-409B-8FF6-7A42A2E83035}"/>
                </c:ext>
              </c:extLst>
            </c:dLbl>
            <c:dLbl>
              <c:idx val="3"/>
              <c:tx>
                <c:rich>
                  <a:bodyPr/>
                  <a:lstStyle/>
                  <a:p>
                    <a:fld id="{7BC0A740-05D6-49D8-A5B2-EE5CA8C4E5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C40-409B-8FF6-7A42A2E83035}"/>
                </c:ext>
              </c:extLst>
            </c:dLbl>
            <c:dLbl>
              <c:idx val="4"/>
              <c:tx>
                <c:rich>
                  <a:bodyPr/>
                  <a:lstStyle/>
                  <a:p>
                    <a:fld id="{E7C3F840-A609-451A-8299-49920CF53F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C40-409B-8FF6-7A42A2E83035}"/>
                </c:ext>
              </c:extLst>
            </c:dLbl>
            <c:dLbl>
              <c:idx val="5"/>
              <c:tx>
                <c:rich>
                  <a:bodyPr/>
                  <a:lstStyle/>
                  <a:p>
                    <a:fld id="{EF3743C1-46B9-4757-AACA-5509902D27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C40-409B-8FF6-7A42A2E83035}"/>
                </c:ext>
              </c:extLst>
            </c:dLbl>
            <c:dLbl>
              <c:idx val="6"/>
              <c:tx>
                <c:rich>
                  <a:bodyPr/>
                  <a:lstStyle/>
                  <a:p>
                    <a:fld id="{DFAEB3CC-3BA1-46EB-9D4A-518A13C25F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C40-409B-8FF6-7A42A2E83035}"/>
                </c:ext>
              </c:extLst>
            </c:dLbl>
            <c:dLbl>
              <c:idx val="7"/>
              <c:tx>
                <c:rich>
                  <a:bodyPr/>
                  <a:lstStyle/>
                  <a:p>
                    <a:fld id="{4317E846-BDE5-4890-938E-505D24B733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Data'!$H$38:$H$45</c:f>
              <c:numCache>
                <c:formatCode>General</c:formatCode>
                <c:ptCount val="8"/>
                <c:pt idx="0">
                  <c:v>156</c:v>
                </c:pt>
                <c:pt idx="1">
                  <c:v>176</c:v>
                </c:pt>
                <c:pt idx="2">
                  <c:v>145</c:v>
                </c:pt>
                <c:pt idx="3">
                  <c:v>157</c:v>
                </c:pt>
                <c:pt idx="4">
                  <c:v>155</c:v>
                </c:pt>
                <c:pt idx="5">
                  <c:v>177</c:v>
                </c:pt>
                <c:pt idx="6">
                  <c:v>107</c:v>
                </c:pt>
                <c:pt idx="7">
                  <c:v>135</c:v>
                </c:pt>
              </c:numCache>
            </c:numRef>
          </c:xVal>
          <c:yVal>
            <c:numRef>
              <c:f>'November 2022 Data'!$G$38:$G$45</c:f>
              <c:numCache>
                <c:formatCode>General</c:formatCode>
                <c:ptCount val="8"/>
                <c:pt idx="0">
                  <c:v>189</c:v>
                </c:pt>
                <c:pt idx="1">
                  <c:v>189</c:v>
                </c:pt>
                <c:pt idx="2">
                  <c:v>187</c:v>
                </c:pt>
                <c:pt idx="3">
                  <c:v>191</c:v>
                </c:pt>
                <c:pt idx="4">
                  <c:v>193</c:v>
                </c:pt>
                <c:pt idx="5">
                  <c:v>185</c:v>
                </c:pt>
                <c:pt idx="6">
                  <c:v>169</c:v>
                </c:pt>
                <c:pt idx="7">
                  <c:v>178</c:v>
                </c:pt>
              </c:numCache>
            </c:numRef>
          </c:yVal>
          <c:smooth val="0"/>
          <c:extLst>
            <c:ext xmlns:c15="http://schemas.microsoft.com/office/drawing/2012/chart" uri="{02D57815-91ED-43cb-92C2-25804820EDAC}">
              <c15:datalabelsRange>
                <c15:f>'November 2022 Data'!$A$38:$A$45</c15:f>
                <c15:dlblRangeCache>
                  <c:ptCount val="8"/>
                  <c:pt idx="0">
                    <c:v>Okinoumi</c:v>
                  </c:pt>
                  <c:pt idx="1">
                    <c:v>Oho</c:v>
                  </c:pt>
                  <c:pt idx="2">
                    <c:v>Ichiyamamoto</c:v>
                  </c:pt>
                  <c:pt idx="3">
                    <c:v>Azumaryu</c:v>
                  </c:pt>
                  <c:pt idx="4">
                    <c:v>Kagayaki</c:v>
                  </c:pt>
                  <c:pt idx="5">
                    <c:v>Atamifuji</c:v>
                  </c:pt>
                  <c:pt idx="6">
                    <c:v>Terutsuyoshi</c:v>
                  </c:pt>
                  <c:pt idx="7">
                    <c:v>Hiradoumi</c:v>
                  </c:pt>
                </c15:dlblRangeCache>
              </c15:datalabelsRange>
            </c:ext>
            <c:ext xmlns:c16="http://schemas.microsoft.com/office/drawing/2014/chart" uri="{C3380CC4-5D6E-409C-BE32-E72D297353CC}">
              <c16:uniqueId val="{00000031-BC40-409B-8FF6-7A42A2E83035}"/>
            </c:ext>
          </c:extLst>
        </c:ser>
        <c:dLbls>
          <c:showLegendKey val="0"/>
          <c:showVal val="0"/>
          <c:showCatName val="0"/>
          <c:showSerName val="0"/>
          <c:showPercent val="0"/>
          <c:showBubbleSize val="0"/>
        </c:dLbls>
        <c:axId val="745971600"/>
        <c:axId val="745971928"/>
        <c:extLst>
          <c:ext xmlns:c15="http://schemas.microsoft.com/office/drawing/2012/chart" uri="{02D57815-91ED-43cb-92C2-25804820EDAC}">
            <c15:filteredScatterSeries>
              <c15:ser>
                <c:idx val="0"/>
                <c:order val="0"/>
                <c:tx>
                  <c:strRef>
                    <c:extLst>
                      <c:ext uri="{02D57815-91ED-43cb-92C2-25804820EDAC}">
                        <c15:formulaRef>
                          <c15:sqref>'September 2022 Data'!$C$4</c15:sqref>
                        </c15:formulaRef>
                      </c:ext>
                    </c:extLst>
                    <c:strCache>
                      <c:ptCount val="1"/>
                      <c:pt idx="0">
                        <c:v>Yokozuna</c:v>
                      </c:pt>
                    </c:strCache>
                  </c:strRef>
                </c:tx>
                <c:spPr>
                  <a:ln w="25400" cap="rnd">
                    <a:noFill/>
                    <a:round/>
                  </a:ln>
                  <a:effectLst/>
                </c:spPr>
                <c:marker>
                  <c:symbol val="circle"/>
                  <c:size val="13"/>
                  <c:spPr>
                    <a:solidFill>
                      <a:schemeClr val="accent1"/>
                    </a:solidFill>
                    <a:ln w="9525">
                      <a:solidFill>
                        <a:schemeClr val="accent1"/>
                      </a:solidFill>
                    </a:ln>
                    <a:effectLst/>
                  </c:spPr>
                </c:marker>
                <c:dLbls>
                  <c:dLbl>
                    <c:idx val="0"/>
                    <c:tx>
                      <c:rich>
                        <a:bodyPr/>
                        <a:lstStyle/>
                        <a:p>
                          <a:fld id="{FD35C167-3A3B-496D-BE4E-8740A9E4E63A}" type="CELLRANGE">
                            <a:rPr lang="en-US"/>
                            <a:pPr/>
                            <a:t>[CELLRANGE]</a:t>
                          </a:fld>
                          <a:endParaRPr lang="en-US"/>
                        </a:p>
                      </c:rich>
                    </c:tx>
                    <c:showLegendKey val="0"/>
                    <c:showVal val="0"/>
                    <c:showCatName val="0"/>
                    <c:showSerName val="0"/>
                    <c:showPercent val="0"/>
                    <c:showBubbleSize val="0"/>
                    <c:extLst>
                      <c:ext uri="{CE6537A1-D6FC-4f65-9D91-7224C49458BB}">
                        <c15:dlblFieldTable/>
                        <c15:xForSave val="1"/>
                        <c15:showDataLabelsRange val="1"/>
                      </c:ext>
                      <c:ext xmlns:c16="http://schemas.microsoft.com/office/drawing/2014/chart" uri="{C3380CC4-5D6E-409C-BE32-E72D297353CC}">
                        <c16:uniqueId val="{00000000-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c:ext uri="{02D57815-91ED-43cb-92C2-25804820EDAC}">
                        <c15:formulaRef>
                          <c15:sqref>'November 2022 Data'!$H$4</c15:sqref>
                        </c15:formulaRef>
                      </c:ext>
                    </c:extLst>
                    <c:numCache>
                      <c:formatCode>General</c:formatCode>
                      <c:ptCount val="1"/>
                      <c:pt idx="0">
                        <c:v>181</c:v>
                      </c:pt>
                    </c:numCache>
                  </c:numRef>
                </c:xVal>
                <c:yVal>
                  <c:numRef>
                    <c:extLst>
                      <c:ext uri="{02D57815-91ED-43cb-92C2-25804820EDAC}">
                        <c15:formulaRef>
                          <c15:sqref>'November 2022 Data'!$G$4</c15:sqref>
                        </c15:formulaRef>
                      </c:ext>
                    </c:extLst>
                    <c:numCache>
                      <c:formatCode>General</c:formatCode>
                      <c:ptCount val="1"/>
                      <c:pt idx="0">
                        <c:v>192</c:v>
                      </c:pt>
                    </c:numCache>
                  </c:numRef>
                </c:yVal>
                <c:smooth val="0"/>
                <c:extLst>
                  <c:ext uri="{02D57815-91ED-43cb-92C2-25804820EDAC}">
                    <c15:datalabelsRange>
                      <c15:f>'November 2022 Data'!$A$4</c15:f>
                      <c15:dlblRangeCache>
                        <c:ptCount val="1"/>
                        <c:pt idx="0">
                          <c:v>Terunofuji</c:v>
                        </c:pt>
                      </c15:dlblRangeCache>
                    </c15:datalabelsRange>
                  </c:ext>
                  <c:ext xmlns:c16="http://schemas.microsoft.com/office/drawing/2014/chart" uri="{C3380CC4-5D6E-409C-BE32-E72D297353CC}">
                    <c16:uniqueId val="{00000001-BC40-409B-8FF6-7A42A2E83035}"/>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'September 2022 Data'!$C$5</c15:sqref>
                        </c15:formulaRef>
                      </c:ext>
                    </c:extLst>
                    <c:strCache>
                      <c:ptCount val="1"/>
                      <c:pt idx="0">
                        <c:v>Ozeki</c:v>
                      </c:pt>
                    </c:strCache>
                  </c:strRef>
                </c:tx>
                <c:spPr>
                  <a:ln w="25400" cap="rnd">
                    <a:noFill/>
                    <a:round/>
                  </a:ln>
                  <a:effectLst/>
                </c:spPr>
                <c:marker>
                  <c:symbol val="circle"/>
                  <c:size val="11"/>
                  <c:spPr>
                    <a:solidFill>
                      <a:schemeClr val="accent2"/>
                    </a:solidFill>
                    <a:ln w="9525">
                      <a:solidFill>
                        <a:schemeClr val="accent2"/>
                      </a:solidFill>
                    </a:ln>
                    <a:effectLst/>
                  </c:spPr>
                </c:marker>
                <c:dLbls>
                  <c:dLbl>
                    <c:idx val="0"/>
                    <c:tx>
                      <c:rich>
                        <a:bodyPr/>
                        <a:lstStyle/>
                        <a:p>
                          <a:fld id="{8C334FD9-EF31-4D6B-BFB9-9F6D9E0941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C40-409B-8FF6-7A42A2E83035}"/>
                      </c:ext>
                    </c:extLst>
                  </c:dLbl>
                  <c:dLbl>
                    <c:idx val="1"/>
                    <c:tx>
                      <c:rich>
                        <a:bodyPr/>
                        <a:lstStyle/>
                        <a:p>
                          <a:fld id="{0C9E006E-4803-4D54-8017-B53295CEF8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Data'!$H$5:$H$6</c15:sqref>
                        </c15:formulaRef>
                      </c:ext>
                    </c:extLst>
                    <c:numCache>
                      <c:formatCode>General</c:formatCode>
                      <c:ptCount val="2"/>
                      <c:pt idx="0">
                        <c:v>163</c:v>
                      </c:pt>
                      <c:pt idx="1">
                        <c:v>162</c:v>
                      </c:pt>
                    </c:numCache>
                  </c:numRef>
                </c:xVal>
                <c:yVal>
                  <c:numRef>
                    <c:extLst xmlns:c15="http://schemas.microsoft.com/office/drawing/2012/chart">
                      <c:ext xmlns:c15="http://schemas.microsoft.com/office/drawing/2012/chart" uri="{02D57815-91ED-43cb-92C2-25804820EDAC}">
                        <c15:formulaRef>
                          <c15:sqref>'November 2022 Data'!$G$5:$G$6</c15:sqref>
                        </c15:formulaRef>
                      </c:ext>
                    </c:extLst>
                    <c:numCache>
                      <c:formatCode>General</c:formatCode>
                      <c:ptCount val="2"/>
                      <c:pt idx="0">
                        <c:v>175</c:v>
                      </c:pt>
                      <c:pt idx="1">
                        <c:v>183</c:v>
                      </c:pt>
                    </c:numCache>
                  </c:numRef>
                </c:yVal>
                <c:smooth val="0"/>
                <c:extLst xmlns:c15="http://schemas.microsoft.com/office/drawing/2012/char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4-BC40-409B-8FF6-7A42A2E83035}"/>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'September 2022 Data'!$C$8</c15:sqref>
                        </c15:formulaRef>
                      </c:ext>
                    </c:extLst>
                    <c:strCache>
                      <c:ptCount val="1"/>
                      <c:pt idx="0">
                        <c:v>Sekiwake</c:v>
                      </c:pt>
                    </c:strCache>
                  </c:strRef>
                </c:tx>
                <c:spPr>
                  <a:ln w="25400" cap="rnd">
                    <a:noFill/>
                    <a:round/>
                  </a:ln>
                  <a:effectLst/>
                </c:spPr>
                <c:marker>
                  <c:symbol val="circle"/>
                  <c:size val="9"/>
                  <c:spPr>
                    <a:solidFill>
                      <a:schemeClr val="accent3"/>
                    </a:solidFill>
                    <a:ln w="9525">
                      <a:solidFill>
                        <a:schemeClr val="accent3"/>
                      </a:solidFill>
                    </a:ln>
                    <a:effectLst/>
                  </c:spPr>
                </c:marker>
                <c:dLbls>
                  <c:dLbl>
                    <c:idx val="0"/>
                    <c:tx>
                      <c:rich>
                        <a:bodyPr/>
                        <a:lstStyle/>
                        <a:p>
                          <a:fld id="{CDC917BF-76A9-4285-B4E9-AC9BE2ACC8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C40-409B-8FF6-7A42A2E83035}"/>
                      </c:ext>
                    </c:extLst>
                  </c:dLbl>
                  <c:dLbl>
                    <c:idx val="1"/>
                    <c:layout>
                      <c:manualLayout>
                        <c:x val="-5.2768396024273002E-2"/>
                        <c:y val="5.0493098905404959E-2"/>
                      </c:manualLayout>
                    </c:layout>
                    <c:tx>
                      <c:rich>
                        <a:bodyPr/>
                        <a:lstStyle/>
                        <a:p>
                          <a:fld id="{E8ED5132-319B-41BA-A477-41508E1B6096}"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6-BC40-409B-8FF6-7A42A2E83035}"/>
                      </c:ext>
                    </c:extLst>
                  </c:dLbl>
                  <c:dLbl>
                    <c:idx val="2"/>
                    <c:tx>
                      <c:rich>
                        <a:bodyPr/>
                        <a:lstStyle/>
                        <a:p>
                          <a:fld id="{03B2945B-CF7B-41FE-9BD1-A6E96B9C7F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Data'!$H$7:$H$9</c15:sqref>
                        </c15:formulaRef>
                      </c:ext>
                    </c:extLst>
                    <c:numCache>
                      <c:formatCode>General</c:formatCode>
                      <c:ptCount val="3"/>
                      <c:pt idx="0">
                        <c:v>171</c:v>
                      </c:pt>
                      <c:pt idx="1">
                        <c:v>132</c:v>
                      </c:pt>
                      <c:pt idx="2">
                        <c:v>140</c:v>
                      </c:pt>
                    </c:numCache>
                  </c:numRef>
                </c:xVal>
                <c:yVal>
                  <c:numRef>
                    <c:extLst xmlns:c15="http://schemas.microsoft.com/office/drawing/2012/chart">
                      <c:ext xmlns:c15="http://schemas.microsoft.com/office/drawing/2012/chart" uri="{02D57815-91ED-43cb-92C2-25804820EDAC}">
                        <c15:formulaRef>
                          <c15:sqref>'November 2022 Data'!$G$7:$G$9</c15:sqref>
                        </c15:formulaRef>
                      </c:ext>
                    </c:extLst>
                    <c:numCache>
                      <c:formatCode>General</c:formatCode>
                      <c:ptCount val="3"/>
                      <c:pt idx="0">
                        <c:v>179</c:v>
                      </c:pt>
                      <c:pt idx="1">
                        <c:v>183</c:v>
                      </c:pt>
                      <c:pt idx="2">
                        <c:v>185</c:v>
                      </c:pt>
                    </c:numCache>
                  </c:numRef>
                </c:yVal>
                <c:smooth val="0"/>
                <c:extLst xmlns:c15="http://schemas.microsoft.com/office/drawing/2012/chart">
                  <c:ext xmlns:c15="http://schemas.microsoft.com/office/drawing/2012/chart" uri="{02D57815-91ED-43cb-92C2-25804820EDAC}">
                    <c15:datalabelsRange>
                      <c15:f>'November 2022 Data'!$A$7:$A$9</c15:f>
                      <c15:dlblRangeCache>
                        <c:ptCount val="3"/>
                        <c:pt idx="0">
                          <c:v>Mitakeumi</c:v>
                        </c:pt>
                        <c:pt idx="1">
                          <c:v>Wakatakakage</c:v>
                        </c:pt>
                        <c:pt idx="2">
                          <c:v>Hoshoryu</c:v>
                        </c:pt>
                      </c15:dlblRangeCache>
                    </c15:datalabelsRange>
                  </c:ext>
                  <c:ext xmlns:c16="http://schemas.microsoft.com/office/drawing/2014/chart" uri="{C3380CC4-5D6E-409C-BE32-E72D297353CC}">
                    <c16:uniqueId val="{00000008-BC40-409B-8FF6-7A42A2E83035}"/>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'September 2022 Data'!$C$11</c15:sqref>
                        </c15:formulaRef>
                      </c:ext>
                    </c:extLst>
                    <c:strCache>
                      <c:ptCount val="1"/>
                      <c:pt idx="0">
                        <c:v>Komusubi</c:v>
                      </c:pt>
                    </c:strCache>
                  </c:strRef>
                </c:tx>
                <c:spPr>
                  <a:ln w="25400" cap="rnd">
                    <a:noFill/>
                    <a:round/>
                  </a:ln>
                  <a:effectLst/>
                </c:spPr>
                <c:marker>
                  <c:symbol val="circle"/>
                  <c:size val="6"/>
                  <c:spPr>
                    <a:solidFill>
                      <a:schemeClr val="accent4"/>
                    </a:solidFill>
                    <a:ln w="9525">
                      <a:solidFill>
                        <a:schemeClr val="accent4"/>
                      </a:solidFill>
                    </a:ln>
                    <a:effectLst/>
                  </c:spPr>
                </c:marker>
                <c:dLbls>
                  <c:dLbl>
                    <c:idx val="0"/>
                    <c:tx>
                      <c:rich>
                        <a:bodyPr/>
                        <a:lstStyle/>
                        <a:p>
                          <a:fld id="{EFAF15F2-41BE-4777-8CC3-E30C3A30E7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C40-409B-8FF6-7A42A2E83035}"/>
                      </c:ext>
                    </c:extLst>
                  </c:dLbl>
                  <c:dLbl>
                    <c:idx val="1"/>
                    <c:layout>
                      <c:manualLayout>
                        <c:x val="-0.10846836960545009"/>
                        <c:y val="-2.019644439525012E-3"/>
                      </c:manualLayout>
                    </c:layout>
                    <c:tx>
                      <c:rich>
                        <a:bodyPr/>
                        <a:lstStyle/>
                        <a:p>
                          <a:fld id="{1003CC29-E3B2-4D67-84E7-28B79E6E2A69}"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layout>
                          <c:manualLayout>
                            <c:w val="7.6030463938306675E-2"/>
                            <c:h val="2.8245919044374762E-2"/>
                          </c:manualLayout>
                        </c15:layout>
                        <c15:dlblFieldTable/>
                        <c15:showDataLabelsRange val="1"/>
                      </c:ext>
                      <c:ext xmlns:c16="http://schemas.microsoft.com/office/drawing/2014/chart" uri="{C3380CC4-5D6E-409C-BE32-E72D297353CC}">
                        <c16:uniqueId val="{0000000A-BC40-409B-8FF6-7A42A2E83035}"/>
                      </c:ext>
                    </c:extLst>
                  </c:dLbl>
                  <c:dLbl>
                    <c:idx val="2"/>
                    <c:tx>
                      <c:rich>
                        <a:bodyPr/>
                        <a:lstStyle/>
                        <a:p>
                          <a:fld id="{790C2A8A-6E2F-4917-B285-83295FEAC7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C40-409B-8FF6-7A42A2E83035}"/>
                      </c:ext>
                    </c:extLst>
                  </c:dLbl>
                  <c:dLbl>
                    <c:idx val="3"/>
                    <c:layout>
                      <c:manualLayout>
                        <c:x val="-1.7589465341424332E-2"/>
                        <c:y val="3.2315583299459189E-2"/>
                      </c:manualLayout>
                    </c:layout>
                    <c:tx>
                      <c:rich>
                        <a:bodyPr/>
                        <a:lstStyle/>
                        <a:p>
                          <a:fld id="{F5FFE490-E5F0-46C8-BE8F-0CFD3B0DB44F}"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C-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Data'!$H$10:$H$13</c15:sqref>
                        </c15:formulaRef>
                      </c:ext>
                    </c:extLst>
                    <c:numCache>
                      <c:formatCode>General</c:formatCode>
                      <c:ptCount val="4"/>
                      <c:pt idx="0">
                        <c:v>161</c:v>
                      </c:pt>
                      <c:pt idx="1">
                        <c:v>138</c:v>
                      </c:pt>
                      <c:pt idx="2">
                        <c:v>133</c:v>
                      </c:pt>
                      <c:pt idx="3">
                        <c:v>174</c:v>
                      </c:pt>
                    </c:numCache>
                  </c:numRef>
                </c:xVal>
                <c:yVal>
                  <c:numRef>
                    <c:extLst xmlns:c15="http://schemas.microsoft.com/office/drawing/2012/chart">
                      <c:ext xmlns:c15="http://schemas.microsoft.com/office/drawing/2012/chart" uri="{02D57815-91ED-43cb-92C2-25804820EDAC}">
                        <c15:formulaRef>
                          <c15:sqref>'November 2022 Data'!$G$10:$G$13</c15:sqref>
                        </c15:formulaRef>
                      </c:ext>
                    </c:extLst>
                    <c:numCache>
                      <c:formatCode>General</c:formatCode>
                      <c:ptCount val="4"/>
                      <c:pt idx="0">
                        <c:v>182</c:v>
                      </c:pt>
                      <c:pt idx="1">
                        <c:v>185</c:v>
                      </c:pt>
                      <c:pt idx="2">
                        <c:v>174</c:v>
                      </c:pt>
                      <c:pt idx="3">
                        <c:v>189</c:v>
                      </c:pt>
                    </c:numCache>
                  </c:numRef>
                </c:yVal>
                <c:smooth val="0"/>
                <c:extLst xmlns:c15="http://schemas.microsoft.com/office/drawing/2012/chart">
                  <c:ext xmlns:c15="http://schemas.microsoft.com/office/drawing/2012/chart" uri="{02D57815-91ED-43cb-92C2-25804820EDAC}">
                    <c15:datalabelsRange>
                      <c15:f>'November 2022 Data'!$A$10:$A$13</c15:f>
                      <c15:dlblRangeCache>
                        <c:ptCount val="4"/>
                        <c:pt idx="0">
                          <c:v>Daieisho</c:v>
                        </c:pt>
                        <c:pt idx="1">
                          <c:v>Kiribayama</c:v>
                        </c:pt>
                        <c:pt idx="2">
                          <c:v>Tobizaru</c:v>
                        </c:pt>
                        <c:pt idx="3">
                          <c:v>Tamawashi</c:v>
                        </c:pt>
                      </c15:dlblRangeCache>
                    </c15:datalabelsRange>
                  </c:ext>
                  <c:ext xmlns:c16="http://schemas.microsoft.com/office/drawing/2014/chart" uri="{C3380CC4-5D6E-409C-BE32-E72D297353CC}">
                    <c16:uniqueId val="{0000000D-BC40-409B-8FF6-7A42A2E83035}"/>
                  </c:ext>
                </c:extLst>
              </c15:ser>
            </c15:filteredScatterSeries>
            <c15:filteredScatterSeries>
              <c15:ser>
                <c:idx val="4"/>
                <c:order val="4"/>
                <c:tx>
                  <c:v>M01-04</c:v>
                </c:tx>
                <c:spPr>
                  <a:ln w="25400" cap="rnd">
                    <a:noFill/>
                    <a:round/>
                  </a:ln>
                  <a:effectLst/>
                </c:spPr>
                <c:marker>
                  <c:symbol val="circle"/>
                  <c:size val="5"/>
                  <c:spPr>
                    <a:solidFill>
                      <a:schemeClr val="accent1">
                        <a:alpha val="73000"/>
                      </a:schemeClr>
                    </a:solidFill>
                    <a:ln w="9525">
                      <a:noFill/>
                    </a:ln>
                    <a:effectLst/>
                  </c:spPr>
                </c:marker>
                <c:dLbls>
                  <c:dLbl>
                    <c:idx val="0"/>
                    <c:layout>
                      <c:manualLayout>
                        <c:x val="-2.3452620455232498E-2"/>
                        <c:y val="-3.0295859343243057E-2"/>
                      </c:manualLayout>
                    </c:layout>
                    <c:tx>
                      <c:rich>
                        <a:bodyPr/>
                        <a:lstStyle/>
                        <a:p>
                          <a:fld id="{45164355-E142-48BB-95C7-B4F019681470}"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E-BC40-409B-8FF6-7A42A2E83035}"/>
                      </c:ext>
                    </c:extLst>
                  </c:dLbl>
                  <c:dLbl>
                    <c:idx val="1"/>
                    <c:tx>
                      <c:rich>
                        <a:bodyPr/>
                        <a:lstStyle/>
                        <a:p>
                          <a:fld id="{794A64ED-78CB-427B-ACDB-29A3D8F7F5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C40-409B-8FF6-7A42A2E83035}"/>
                      </c:ext>
                    </c:extLst>
                  </c:dLbl>
                  <c:dLbl>
                    <c:idx val="2"/>
                    <c:tx>
                      <c:rich>
                        <a:bodyPr/>
                        <a:lstStyle/>
                        <a:p>
                          <a:fld id="{6BE27CBC-F638-47A4-B280-09005C30F8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C40-409B-8FF6-7A42A2E83035}"/>
                      </c:ext>
                    </c:extLst>
                  </c:dLbl>
                  <c:dLbl>
                    <c:idx val="3"/>
                    <c:tx>
                      <c:rich>
                        <a:bodyPr/>
                        <a:lstStyle/>
                        <a:p>
                          <a:fld id="{980F6BA1-F0C1-4FA3-B467-4C15C61D4B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C40-409B-8FF6-7A42A2E83035}"/>
                      </c:ext>
                    </c:extLst>
                  </c:dLbl>
                  <c:dLbl>
                    <c:idx val="4"/>
                    <c:tx>
                      <c:rich>
                        <a:bodyPr/>
                        <a:lstStyle/>
                        <a:p>
                          <a:fld id="{183D8620-6BCA-448B-8FAC-2C4CAADFE8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C40-409B-8FF6-7A42A2E83035}"/>
                      </c:ext>
                    </c:extLst>
                  </c:dLbl>
                  <c:dLbl>
                    <c:idx val="5"/>
                    <c:tx>
                      <c:rich>
                        <a:bodyPr/>
                        <a:lstStyle/>
                        <a:p>
                          <a:fld id="{9248EE41-1BA2-40C7-B11D-46C5AA3312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C40-409B-8FF6-7A42A2E83035}"/>
                      </c:ext>
                    </c:extLst>
                  </c:dLbl>
                  <c:dLbl>
                    <c:idx val="6"/>
                    <c:tx>
                      <c:rich>
                        <a:bodyPr/>
                        <a:lstStyle/>
                        <a:p>
                          <a:fld id="{E67FAFCA-8772-42C1-B979-06E8B1A099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C40-409B-8FF6-7A42A2E83035}"/>
                      </c:ext>
                    </c:extLst>
                  </c:dLbl>
                  <c:dLbl>
                    <c:idx val="7"/>
                    <c:tx>
                      <c:rich>
                        <a:bodyPr/>
                        <a:lstStyle/>
                        <a:p>
                          <a:fld id="{787D2D80-CC9B-4D98-A9AE-B3051B5DE9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Data'!$H$14:$H$21</c15:sqref>
                        </c15:formulaRef>
                      </c:ext>
                    </c:extLst>
                    <c:numCache>
                      <c:formatCode>General</c:formatCode>
                      <c:ptCount val="8"/>
                      <c:pt idx="0">
                        <c:v>167</c:v>
                      </c:pt>
                      <c:pt idx="1">
                        <c:v>182</c:v>
                      </c:pt>
                      <c:pt idx="2">
                        <c:v>212</c:v>
                      </c:pt>
                      <c:pt idx="3">
                        <c:v>153</c:v>
                      </c:pt>
                      <c:pt idx="4">
                        <c:v>114</c:v>
                      </c:pt>
                      <c:pt idx="5">
                        <c:v>151</c:v>
                      </c:pt>
                      <c:pt idx="6">
                        <c:v>141</c:v>
                      </c:pt>
                      <c:pt idx="7">
                        <c:v>135</c:v>
                      </c:pt>
                    </c:numCache>
                  </c:numRef>
                </c:xVal>
                <c:yVal>
                  <c:numRef>
                    <c:extLst xmlns:c15="http://schemas.microsoft.com/office/drawing/2012/chart">
                      <c:ext xmlns:c15="http://schemas.microsoft.com/office/drawing/2012/chart" uri="{02D57815-91ED-43cb-92C2-25804820EDAC}">
                        <c15:formulaRef>
                          <c15:sqref>'November 2022 Data'!$G$14:$G$21</c15:sqref>
                        </c15:formulaRef>
                      </c:ext>
                    </c:extLst>
                    <c:numCache>
                      <c:formatCode>General</c:formatCode>
                      <c:ptCount val="8"/>
                      <c:pt idx="0">
                        <c:v>189</c:v>
                      </c:pt>
                      <c:pt idx="1">
                        <c:v>186</c:v>
                      </c:pt>
                      <c:pt idx="2">
                        <c:v>190</c:v>
                      </c:pt>
                      <c:pt idx="3">
                        <c:v>180</c:v>
                      </c:pt>
                      <c:pt idx="4">
                        <c:v>171</c:v>
                      </c:pt>
                      <c:pt idx="5">
                        <c:v>175</c:v>
                      </c:pt>
                      <c:pt idx="6">
                        <c:v>182</c:v>
                      </c:pt>
                      <c:pt idx="7">
                        <c:v>186</c:v>
                      </c:pt>
                    </c:numCache>
                  </c:numRef>
                </c:yVal>
                <c:smooth val="0"/>
                <c:extLst xmlns:c15="http://schemas.microsoft.com/office/drawing/2012/chart">
                  <c:ext xmlns:c15="http://schemas.microsoft.com/office/drawing/2012/chart" uri="{02D57815-91ED-43cb-92C2-25804820EDAC}">
                    <c15:datalabelsRange>
                      <c15:f>'November 2022 Data'!$A$14:$A$21</c15:f>
                      <c15:dlblRangeCache>
                        <c:ptCount val="8"/>
                        <c:pt idx="0">
                          <c:v>Kotonowaka</c:v>
                        </c:pt>
                        <c:pt idx="1">
                          <c:v>Takayasu</c:v>
                        </c:pt>
                        <c:pt idx="2">
                          <c:v>Ichinojo</c:v>
                        </c:pt>
                        <c:pt idx="3">
                          <c:v>Meisei</c:v>
                        </c:pt>
                        <c:pt idx="4">
                          <c:v>Midorifuji</c:v>
                        </c:pt>
                        <c:pt idx="5">
                          <c:v>Ura</c:v>
                        </c:pt>
                        <c:pt idx="6">
                          <c:v>Sadanoumi</c:v>
                        </c:pt>
                        <c:pt idx="7">
                          <c:v>Wakamotoharu</c:v>
                        </c:pt>
                      </c15:dlblRangeCache>
                    </c15:datalabelsRange>
                  </c:ext>
                  <c:ext xmlns:c16="http://schemas.microsoft.com/office/drawing/2014/chart" uri="{C3380CC4-5D6E-409C-BE32-E72D297353CC}">
                    <c16:uniqueId val="{00000016-BC40-409B-8FF6-7A42A2E83035}"/>
                  </c:ext>
                </c:extLst>
              </c15:ser>
            </c15:filteredScatterSeries>
            <c15:filteredScatterSeries>
              <c15:ser>
                <c:idx val="5"/>
                <c:order val="5"/>
                <c:tx>
                  <c:v>M05-08</c:v>
                </c:tx>
                <c:spPr>
                  <a:ln w="25400" cap="rnd">
                    <a:noFill/>
                    <a:round/>
                  </a:ln>
                  <a:effectLst/>
                </c:spPr>
                <c:marker>
                  <c:symbol val="circle"/>
                  <c:size val="5"/>
                  <c:spPr>
                    <a:solidFill>
                      <a:schemeClr val="accent2">
                        <a:alpha val="76000"/>
                      </a:schemeClr>
                    </a:solidFill>
                    <a:ln w="9525">
                      <a:noFill/>
                    </a:ln>
                    <a:effectLst/>
                  </c:spPr>
                </c:marker>
                <c:dLbls>
                  <c:dLbl>
                    <c:idx val="0"/>
                    <c:layout>
                      <c:manualLayout>
                        <c:x val="-2.7849986790588529E-2"/>
                        <c:y val="-2.8276135387026894E-2"/>
                      </c:manualLayout>
                    </c:layout>
                    <c:tx>
                      <c:rich>
                        <a:bodyPr/>
                        <a:lstStyle/>
                        <a:p>
                          <a:fld id="{B4505449-D246-45D9-B58F-46A58FB60859}"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7-BC40-409B-8FF6-7A42A2E83035}"/>
                      </c:ext>
                    </c:extLst>
                  </c:dLbl>
                  <c:dLbl>
                    <c:idx val="1"/>
                    <c:tx>
                      <c:rich>
                        <a:bodyPr/>
                        <a:lstStyle/>
                        <a:p>
                          <a:fld id="{91F38FCC-24B7-4483-8D93-70EF722F6C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C40-409B-8FF6-7A42A2E83035}"/>
                      </c:ext>
                    </c:extLst>
                  </c:dLbl>
                  <c:dLbl>
                    <c:idx val="2"/>
                    <c:layout>
                      <c:manualLayout>
                        <c:x val="1.7589465341424332E-2"/>
                        <c:y val="4.443392703675636E-2"/>
                      </c:manualLayout>
                    </c:layout>
                    <c:tx>
                      <c:rich>
                        <a:bodyPr/>
                        <a:lstStyle/>
                        <a:p>
                          <a:fld id="{76451DF2-FFF4-459C-A4DC-7A18F3DA95B4}"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9-BC40-409B-8FF6-7A42A2E83035}"/>
                      </c:ext>
                    </c:extLst>
                  </c:dLbl>
                  <c:dLbl>
                    <c:idx val="3"/>
                    <c:layout>
                      <c:manualLayout>
                        <c:x val="1.4657887784519741E-3"/>
                        <c:y val="1.6157791649729612E-2"/>
                      </c:manualLayout>
                    </c:layout>
                    <c:tx>
                      <c:rich>
                        <a:bodyPr/>
                        <a:lstStyle/>
                        <a:p>
                          <a:fld id="{CB3EE835-A279-4BB5-BCE4-FC13E405EBA4}"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A-BC40-409B-8FF6-7A42A2E83035}"/>
                      </c:ext>
                    </c:extLst>
                  </c:dLbl>
                  <c:dLbl>
                    <c:idx val="4"/>
                    <c:tx>
                      <c:rich>
                        <a:bodyPr/>
                        <a:lstStyle/>
                        <a:p>
                          <a:fld id="{7F191240-137A-4F1D-A20C-2F5C8043FE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C40-409B-8FF6-7A42A2E83035}"/>
                      </c:ext>
                    </c:extLst>
                  </c:dLbl>
                  <c:dLbl>
                    <c:idx val="5"/>
                    <c:layout>
                      <c:manualLayout>
                        <c:x val="-8.2084171593313604E-2"/>
                        <c:y val="0"/>
                      </c:manualLayout>
                    </c:layout>
                    <c:tx>
                      <c:rich>
                        <a:bodyPr/>
                        <a:lstStyle/>
                        <a:p>
                          <a:fld id="{894EC75E-607F-4A97-BE30-ED16BB7B7810}"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C-BC40-409B-8FF6-7A42A2E83035}"/>
                      </c:ext>
                    </c:extLst>
                  </c:dLbl>
                  <c:dLbl>
                    <c:idx val="6"/>
                    <c:tx>
                      <c:rich>
                        <a:bodyPr/>
                        <a:lstStyle/>
                        <a:p>
                          <a:fld id="{228EDC44-6133-4D86-9FB0-7966E29FAA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C40-409B-8FF6-7A42A2E83035}"/>
                      </c:ext>
                    </c:extLst>
                  </c:dLbl>
                  <c:dLbl>
                    <c:idx val="7"/>
                    <c:layout>
                      <c:manualLayout>
                        <c:x val="-4.1042085796656885E-2"/>
                        <c:y val="-4.0394479124324048E-2"/>
                      </c:manualLayout>
                    </c:layout>
                    <c:tx>
                      <c:rich>
                        <a:bodyPr/>
                        <a:lstStyle/>
                        <a:p>
                          <a:fld id="{33C98321-1C19-4D13-9A15-8C8279493A86}"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E-BC40-409B-8FF6-7A42A2E830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extLst xmlns:c15="http://schemas.microsoft.com/office/drawing/2012/chart">
                      <c:ext xmlns:c15="http://schemas.microsoft.com/office/drawing/2012/chart" uri="{02D57815-91ED-43cb-92C2-25804820EDAC}">
                        <c15:formulaRef>
                          <c15:sqref>'November 2022 Data'!$H$22:$H$29</c15:sqref>
                        </c15:formulaRef>
                      </c:ext>
                    </c:extLst>
                    <c:numCache>
                      <c:formatCode>General</c:formatCode>
                      <c:ptCount val="8"/>
                      <c:pt idx="0">
                        <c:v>161</c:v>
                      </c:pt>
                      <c:pt idx="1">
                        <c:v>148</c:v>
                      </c:pt>
                      <c:pt idx="2">
                        <c:v>170</c:v>
                      </c:pt>
                      <c:pt idx="3">
                        <c:v>154</c:v>
                      </c:pt>
                      <c:pt idx="4">
                        <c:v>149</c:v>
                      </c:pt>
                      <c:pt idx="5">
                        <c:v>154</c:v>
                      </c:pt>
                      <c:pt idx="6">
                        <c:v>166</c:v>
                      </c:pt>
                      <c:pt idx="7">
                        <c:v>179</c:v>
                      </c:pt>
                    </c:numCache>
                  </c:numRef>
                </c:xVal>
                <c:yVal>
                  <c:numRef>
                    <c:extLst xmlns:c15="http://schemas.microsoft.com/office/drawing/2012/chart">
                      <c:ext xmlns:c15="http://schemas.microsoft.com/office/drawing/2012/chart" uri="{02D57815-91ED-43cb-92C2-25804820EDAC}">
                        <c15:formulaRef>
                          <c15:sqref>'November 2022 Data'!$G$22:$G$29</c15:sqref>
                        </c15:formulaRef>
                      </c:ext>
                    </c:extLst>
                    <c:numCache>
                      <c:formatCode>General</c:formatCode>
                      <c:ptCount val="8"/>
                      <c:pt idx="0">
                        <c:v>184</c:v>
                      </c:pt>
                      <c:pt idx="1">
                        <c:v>184</c:v>
                      </c:pt>
                      <c:pt idx="2">
                        <c:v>184</c:v>
                      </c:pt>
                      <c:pt idx="3">
                        <c:v>187</c:v>
                      </c:pt>
                      <c:pt idx="4">
                        <c:v>183</c:v>
                      </c:pt>
                      <c:pt idx="5">
                        <c:v>189</c:v>
                      </c:pt>
                      <c:pt idx="6">
                        <c:v>186</c:v>
                      </c:pt>
                      <c:pt idx="7">
                        <c:v>192</c:v>
                      </c:pt>
                    </c:numCache>
                  </c:numRef>
                </c:yVal>
                <c:smooth val="0"/>
                <c:extLst xmlns:c15="http://schemas.microsoft.com/office/drawing/2012/chart">
                  <c:ext xmlns:c15="http://schemas.microsoft.com/office/drawing/2012/chart" uri="{02D57815-91ED-43cb-92C2-25804820EDAC}">
                    <c15:datalabelsRange>
                      <c15:f>'November 2022 Data'!$A$22:$A$29</c15:f>
                      <c15:dlblRangeCache>
                        <c:ptCount val="8"/>
                        <c:pt idx="0">
                          <c:v>Hokutofuji</c:v>
                        </c:pt>
                        <c:pt idx="1">
                          <c:v>Nishikifuji</c:v>
                        </c:pt>
                        <c:pt idx="2">
                          <c:v>Nishikigi</c:v>
                        </c:pt>
                        <c:pt idx="3">
                          <c:v>Ryuden</c:v>
                        </c:pt>
                        <c:pt idx="4">
                          <c:v>Endo</c:v>
                        </c:pt>
                        <c:pt idx="5">
                          <c:v>Myogiryu</c:v>
                        </c:pt>
                        <c:pt idx="6">
                          <c:v>Takarafuji</c:v>
                        </c:pt>
                        <c:pt idx="7">
                          <c:v>Tochinoshin</c:v>
                        </c:pt>
                      </c15:dlblRangeCache>
                    </c15:datalabelsRange>
                  </c:ext>
                  <c:ext xmlns:c16="http://schemas.microsoft.com/office/drawing/2014/chart" uri="{C3380CC4-5D6E-409C-BE32-E72D297353CC}">
                    <c16:uniqueId val="{0000001F-BC40-409B-8FF6-7A42A2E83035}"/>
                  </c:ext>
                </c:extLst>
              </c15:ser>
            </c15:filteredScatterSeries>
          </c:ext>
        </c:extLst>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7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January 2023 Makuuchi Wrestlers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72178186362232E-2"/>
          <c:y val="7.6969294470663738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9.8258472786883502E-2"/>
                  <c:y val="-1.6202531645569639E-2"/>
                </c:manualLayout>
              </c:layout>
              <c:tx>
                <c:rich>
                  <a:bodyPr/>
                  <a:lstStyle/>
                  <a:p>
                    <a:fld id="{2922A778-3D2D-4162-8952-823AEDF587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'November 2022 Data'!$H$4</c:f>
              <c:numCache>
                <c:formatCode>General</c:formatCode>
                <c:ptCount val="1"/>
                <c:pt idx="0">
                  <c:v>181</c:v>
                </c:pt>
              </c:numCache>
            </c:numRef>
          </c:xVal>
          <c:yVal>
            <c:numRef>
              <c:f>'January 2023 Data'!$H$4</c:f>
              <c:numCache>
                <c:formatCode>General</c:formatCode>
                <c:ptCount val="1"/>
                <c:pt idx="0">
                  <c:v>192</c:v>
                </c:pt>
              </c:numCache>
            </c:numRef>
          </c:yVal>
          <c:smooth val="0"/>
          <c:extLst>
            <c:ext xmlns:c15="http://schemas.microsoft.com/office/drawing/2012/chart" uri="{02D57815-91ED-43cb-92C2-25804820EDAC}">
              <c15:datalabelsRange>
                <c15:f>'January 2023 Data'!$A$4</c15:f>
                <c15:dlblRangeCache>
                  <c:ptCount val="1"/>
                  <c:pt idx="0">
                    <c:v>Terunofuji</c:v>
                  </c:pt>
                </c15:dlblRangeCache>
              </c15:datalabelsRange>
            </c:ext>
            <c:ext xmlns:c16="http://schemas.microsoft.com/office/drawing/2014/chart" uri="{C3380CC4-5D6E-409C-BE32-E72D297353CC}">
              <c16:uniqueId val="{00000001-4ACB-455E-9A96-A98653FFCF61}"/>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CE1AFA70-2BA3-40BD-955A-570EF9684B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Data'!$I$5</c:f>
              <c:numCache>
                <c:formatCode>General</c:formatCode>
                <c:ptCount val="1"/>
                <c:pt idx="0">
                  <c:v>165</c:v>
                </c:pt>
              </c:numCache>
            </c:numRef>
          </c:xVal>
          <c:yVal>
            <c:numRef>
              <c:f>'January 2023 Data'!$H$5</c:f>
              <c:numCache>
                <c:formatCode>General</c:formatCode>
                <c:ptCount val="1"/>
                <c:pt idx="0">
                  <c:v>175</c:v>
                </c:pt>
              </c:numCache>
            </c:numRef>
          </c:yVal>
          <c:smooth val="0"/>
          <c:extLst>
            <c:ext xmlns:c15="http://schemas.microsoft.com/office/drawing/2012/chart" uri="{02D57815-91ED-43cb-92C2-25804820EDAC}">
              <c15:datalabelsRange>
                <c15:f>'November 2022 Data'!$A$5:$A$6</c15:f>
                <c15:dlblRangeCache>
                  <c:ptCount val="2"/>
                  <c:pt idx="0">
                    <c:v>Takakeisho</c:v>
                  </c:pt>
                  <c:pt idx="1">
                    <c:v>Shodai</c:v>
                  </c:pt>
                </c15:dlblRangeCache>
              </c15:datalabelsRange>
            </c:ext>
            <c:ext xmlns:c16="http://schemas.microsoft.com/office/drawing/2014/chart" uri="{C3380CC4-5D6E-409C-BE32-E72D297353CC}">
              <c16:uniqueId val="{00000003-4ACB-455E-9A96-A98653FFCF61}"/>
            </c:ext>
          </c:extLst>
        </c:ser>
        <c:ser>
          <c:idx val="2"/>
          <c:order val="2"/>
          <c:tx>
            <c:strRef>
              <c:f>'September 2022 Data'!$C$8</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tx>
                <c:rich>
                  <a:bodyPr/>
                  <a:lstStyle/>
                  <a:p>
                    <a:fld id="{0CC30360-F7C1-4431-8151-4BC4C35CE5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ACB-455E-9A96-A98653FFCF61}"/>
                </c:ext>
              </c:extLst>
            </c:dLbl>
            <c:dLbl>
              <c:idx val="1"/>
              <c:layout>
                <c:manualLayout>
                  <c:x val="-0.12465627144604627"/>
                  <c:y val="4.0506329113924053E-3"/>
                </c:manualLayout>
              </c:layout>
              <c:tx>
                <c:rich>
                  <a:bodyPr/>
                  <a:lstStyle/>
                  <a:p>
                    <a:fld id="{28A7951D-69F2-42C6-AAEA-2BB0FDE692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4ACB-455E-9A96-A98653FFCF61}"/>
                </c:ext>
              </c:extLst>
            </c:dLbl>
            <c:dLbl>
              <c:idx val="2"/>
              <c:layout>
                <c:manualLayout>
                  <c:x val="-1.4665443699534906E-2"/>
                  <c:y val="2.8354430379746835E-2"/>
                </c:manualLayout>
              </c:layout>
              <c:tx>
                <c:rich>
                  <a:bodyPr/>
                  <a:lstStyle/>
                  <a:p>
                    <a:fld id="{CB447466-EBA4-4B61-9030-90B5236163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ACB-455E-9A96-A98653FFCF61}"/>
                </c:ext>
              </c:extLst>
            </c:dLbl>
            <c:dLbl>
              <c:idx val="3"/>
              <c:tx>
                <c:rich>
                  <a:bodyPr/>
                  <a:lstStyle/>
                  <a:p>
                    <a:fld id="{3C1FDA20-99A6-4728-916D-192060E905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Data'!$I$6:$I$9</c:f>
              <c:numCache>
                <c:formatCode>General</c:formatCode>
                <c:ptCount val="4"/>
                <c:pt idx="0">
                  <c:v>163</c:v>
                </c:pt>
                <c:pt idx="1">
                  <c:v>135</c:v>
                </c:pt>
                <c:pt idx="2">
                  <c:v>146</c:v>
                </c:pt>
                <c:pt idx="3">
                  <c:v>182</c:v>
                </c:pt>
              </c:numCache>
            </c:numRef>
          </c:xVal>
          <c:yVal>
            <c:numRef>
              <c:f>'January 2023 Data'!$H$6:$H$9</c:f>
              <c:numCache>
                <c:formatCode>General</c:formatCode>
                <c:ptCount val="4"/>
                <c:pt idx="0">
                  <c:v>183</c:v>
                </c:pt>
                <c:pt idx="1">
                  <c:v>183</c:v>
                </c:pt>
                <c:pt idx="2">
                  <c:v>185</c:v>
                </c:pt>
                <c:pt idx="3">
                  <c:v>186</c:v>
                </c:pt>
              </c:numCache>
            </c:numRef>
          </c:yVal>
          <c:smooth val="0"/>
          <c:extLst>
            <c:ext xmlns:c15="http://schemas.microsoft.com/office/drawing/2012/chart" uri="{02D57815-91ED-43cb-92C2-25804820EDAC}">
              <c15:datalabelsRange>
                <c15:f>'January 2023 Data'!$A$6:$A$9</c15:f>
                <c15:dlblRangeCache>
                  <c:ptCount val="4"/>
                  <c:pt idx="0">
                    <c:v>Shodai</c:v>
                  </c:pt>
                  <c:pt idx="1">
                    <c:v>Wakatakakage</c:v>
                  </c:pt>
                  <c:pt idx="2">
                    <c:v>Hoshoryu</c:v>
                  </c:pt>
                  <c:pt idx="3">
                    <c:v>Takayasu</c:v>
                  </c:pt>
                </c15:dlblRangeCache>
              </c15:datalabelsRange>
            </c:ext>
            <c:ext xmlns:c16="http://schemas.microsoft.com/office/drawing/2014/chart" uri="{C3380CC4-5D6E-409C-BE32-E72D297353CC}">
              <c16:uniqueId val="{00000008-4ACB-455E-9A96-A98653FFCF61}"/>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6.746104101786031E-2"/>
                  <c:y val="-2.0253164556962026E-2"/>
                </c:manualLayout>
              </c:layout>
              <c:tx>
                <c:rich>
                  <a:bodyPr/>
                  <a:lstStyle/>
                  <a:p>
                    <a:fld id="{76C0B5F4-2F26-4720-B4D9-C5468DEB15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ACB-455E-9A96-A98653FFCF61}"/>
                </c:ext>
              </c:extLst>
            </c:dLbl>
            <c:dLbl>
              <c:idx val="1"/>
              <c:layout>
                <c:manualLayout>
                  <c:x val="-5.1329052948372034E-2"/>
                  <c:y val="3.4430379746835403E-2"/>
                </c:manualLayout>
              </c:layout>
              <c:tx>
                <c:rich>
                  <a:bodyPr/>
                  <a:lstStyle/>
                  <a:p>
                    <a:fld id="{6BA029EB-4391-4191-8165-F0A33491FF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4ACB-455E-9A96-A98653FFCF61}"/>
                </c:ext>
              </c:extLst>
            </c:dLbl>
            <c:dLbl>
              <c:idx val="2"/>
              <c:tx>
                <c:rich>
                  <a:bodyPr/>
                  <a:lstStyle/>
                  <a:p>
                    <a:fld id="{85E0A28E-905B-4B78-8B22-EE171F7946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ACB-455E-9A96-A98653FFCF61}"/>
                </c:ext>
              </c:extLst>
            </c:dLbl>
            <c:dLbl>
              <c:idx val="3"/>
              <c:tx>
                <c:rich>
                  <a:bodyPr/>
                  <a:lstStyle/>
                  <a:p>
                    <a:fld id="{2766336F-F35A-47EB-9905-1154B27A3F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Data'!$I$10:$I$13</c:f>
              <c:numCache>
                <c:formatCode>General</c:formatCode>
                <c:ptCount val="4"/>
                <c:pt idx="0">
                  <c:v>142</c:v>
                </c:pt>
                <c:pt idx="1">
                  <c:v>172</c:v>
                </c:pt>
                <c:pt idx="2">
                  <c:v>158</c:v>
                </c:pt>
                <c:pt idx="3">
                  <c:v>146</c:v>
                </c:pt>
              </c:numCache>
            </c:numRef>
          </c:xVal>
          <c:yVal>
            <c:numRef>
              <c:f>'January 2023 Data'!$H$10:$H$13</c:f>
              <c:numCache>
                <c:formatCode>General</c:formatCode>
                <c:ptCount val="4"/>
                <c:pt idx="0">
                  <c:v>185</c:v>
                </c:pt>
                <c:pt idx="1">
                  <c:v>189</c:v>
                </c:pt>
                <c:pt idx="2">
                  <c:v>180</c:v>
                </c:pt>
                <c:pt idx="3">
                  <c:v>186</c:v>
                </c:pt>
              </c:numCache>
            </c:numRef>
          </c:yVal>
          <c:smooth val="0"/>
          <c:extLst>
            <c:ext xmlns:c15="http://schemas.microsoft.com/office/drawing/2012/chart" uri="{02D57815-91ED-43cb-92C2-25804820EDAC}">
              <c15:datalabelsRange>
                <c15:f>'January 2023 Data'!$A$10:$A$13</c15:f>
                <c15:dlblRangeCache>
                  <c:ptCount val="4"/>
                  <c:pt idx="0">
                    <c:v>Kiribayama</c:v>
                  </c:pt>
                  <c:pt idx="1">
                    <c:v>Kotonowaka</c:v>
                  </c:pt>
                  <c:pt idx="2">
                    <c:v>Meisei</c:v>
                  </c:pt>
                  <c:pt idx="3">
                    <c:v>Wakamotoharu</c:v>
                  </c:pt>
                </c15:dlblRangeCache>
              </c15:datalabelsRange>
            </c:ext>
            <c:ext xmlns:c16="http://schemas.microsoft.com/office/drawing/2014/chart" uri="{C3380CC4-5D6E-409C-BE32-E72D297353CC}">
              <c16:uniqueId val="{0000000D-4ACB-455E-9A96-A98653FFCF61}"/>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tx>
                <c:rich>
                  <a:bodyPr/>
                  <a:lstStyle/>
                  <a:p>
                    <a:fld id="{689357D0-9C5E-4483-B7D7-2F104C8774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ACB-455E-9A96-A98653FFCF61}"/>
                </c:ext>
              </c:extLst>
            </c:dLbl>
            <c:dLbl>
              <c:idx val="1"/>
              <c:tx>
                <c:rich>
                  <a:bodyPr/>
                  <a:lstStyle/>
                  <a:p>
                    <a:fld id="{7CDABC91-3E97-4D52-84DA-70FD2D72E9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ACB-455E-9A96-A98653FFCF61}"/>
                </c:ext>
              </c:extLst>
            </c:dLbl>
            <c:dLbl>
              <c:idx val="2"/>
              <c:tx>
                <c:rich>
                  <a:bodyPr/>
                  <a:lstStyle/>
                  <a:p>
                    <a:fld id="{F82FF137-C4D2-4557-B731-8F3BD8E9D4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ACB-455E-9A96-A98653FFCF61}"/>
                </c:ext>
              </c:extLst>
            </c:dLbl>
            <c:dLbl>
              <c:idx val="3"/>
              <c:layout>
                <c:manualLayout>
                  <c:x val="-2.1998165549302385E-2"/>
                  <c:y val="-4.860759493670886E-2"/>
                </c:manualLayout>
              </c:layout>
              <c:tx>
                <c:rich>
                  <a:bodyPr/>
                  <a:lstStyle/>
                  <a:p>
                    <a:fld id="{D517C1BF-39F7-4E07-87EB-D1BCFD689F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ACB-455E-9A96-A98653FFCF61}"/>
                </c:ext>
              </c:extLst>
            </c:dLbl>
            <c:dLbl>
              <c:idx val="4"/>
              <c:tx>
                <c:rich>
                  <a:bodyPr/>
                  <a:lstStyle/>
                  <a:p>
                    <a:fld id="{D18E21BF-A987-442C-A4B7-DD5354B244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ACB-455E-9A96-A98653FFCF61}"/>
                </c:ext>
              </c:extLst>
            </c:dLbl>
            <c:dLbl>
              <c:idx val="5"/>
              <c:tx>
                <c:rich>
                  <a:bodyPr/>
                  <a:lstStyle/>
                  <a:p>
                    <a:fld id="{980406E1-B13A-4C4C-AE88-56429DCCB2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ACB-455E-9A96-A98653FFCF61}"/>
                </c:ext>
              </c:extLst>
            </c:dLbl>
            <c:dLbl>
              <c:idx val="6"/>
              <c:tx>
                <c:rich>
                  <a:bodyPr/>
                  <a:lstStyle/>
                  <a:p>
                    <a:fld id="{0B872BCE-3FA3-4D69-8DCD-FCF7DD5025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ACB-455E-9A96-A98653FFCF61}"/>
                </c:ext>
              </c:extLst>
            </c:dLbl>
            <c:dLbl>
              <c:idx val="7"/>
              <c:layout>
                <c:manualLayout>
                  <c:x val="-7.3327218497674261E-3"/>
                  <c:y val="-3.0379746835443037E-2"/>
                </c:manualLayout>
              </c:layout>
              <c:tx>
                <c:rich>
                  <a:bodyPr/>
                  <a:lstStyle/>
                  <a:p>
                    <a:fld id="{392AED9C-0076-4B9F-B399-675A1085E7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Data'!$I$14:$I$21</c:f>
              <c:numCache>
                <c:formatCode>General</c:formatCode>
                <c:ptCount val="8"/>
                <c:pt idx="0">
                  <c:v>165</c:v>
                </c:pt>
                <c:pt idx="1">
                  <c:v>130</c:v>
                </c:pt>
                <c:pt idx="2">
                  <c:v>174</c:v>
                </c:pt>
                <c:pt idx="3">
                  <c:v>174</c:v>
                </c:pt>
                <c:pt idx="4">
                  <c:v>117</c:v>
                </c:pt>
                <c:pt idx="5">
                  <c:v>159</c:v>
                </c:pt>
                <c:pt idx="6">
                  <c:v>144</c:v>
                </c:pt>
                <c:pt idx="7">
                  <c:v>155</c:v>
                </c:pt>
              </c:numCache>
            </c:numRef>
          </c:xVal>
          <c:yVal>
            <c:numRef>
              <c:f>'January 2023 Data'!$H$14:$H$21</c:f>
              <c:numCache>
                <c:formatCode>General</c:formatCode>
                <c:ptCount val="8"/>
                <c:pt idx="0">
                  <c:v>182</c:v>
                </c:pt>
                <c:pt idx="1">
                  <c:v>174</c:v>
                </c:pt>
                <c:pt idx="2">
                  <c:v>179</c:v>
                </c:pt>
                <c:pt idx="3">
                  <c:v>189</c:v>
                </c:pt>
                <c:pt idx="4">
                  <c:v>171</c:v>
                </c:pt>
                <c:pt idx="5">
                  <c:v>187</c:v>
                </c:pt>
                <c:pt idx="6">
                  <c:v>182</c:v>
                </c:pt>
                <c:pt idx="7">
                  <c:v>184</c:v>
                </c:pt>
              </c:numCache>
            </c:numRef>
          </c:yVal>
          <c:smooth val="0"/>
          <c:extLst>
            <c:ext xmlns:c15="http://schemas.microsoft.com/office/drawing/2012/chart" uri="{02D57815-91ED-43cb-92C2-25804820EDAC}">
              <c15:datalabelsRange>
                <c15:f>'January 2023 Data'!$A$14:$A$21</c15:f>
                <c15:dlblRangeCache>
                  <c:ptCount val="8"/>
                  <c:pt idx="0">
                    <c:v>Daieisho</c:v>
                  </c:pt>
                  <c:pt idx="1">
                    <c:v>Tobizaru</c:v>
                  </c:pt>
                  <c:pt idx="2">
                    <c:v>Mitakeumi</c:v>
                  </c:pt>
                  <c:pt idx="3">
                    <c:v>Tamawashi</c:v>
                  </c:pt>
                  <c:pt idx="4">
                    <c:v>Midorifuji</c:v>
                  </c:pt>
                  <c:pt idx="5">
                    <c:v>Abi</c:v>
                  </c:pt>
                  <c:pt idx="6">
                    <c:v>Sadanoumi</c:v>
                  </c:pt>
                  <c:pt idx="7">
                    <c:v>Nishikifuji</c:v>
                  </c:pt>
                </c15:dlblRangeCache>
              </c15:datalabelsRange>
            </c:ext>
            <c:ext xmlns:c16="http://schemas.microsoft.com/office/drawing/2014/chart" uri="{C3380CC4-5D6E-409C-BE32-E72D297353CC}">
              <c16:uniqueId val="{00000016-4ACB-455E-9A96-A98653FFCF61}"/>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55994AE9-4071-4729-8957-E0C9D7FC5F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ACB-455E-9A96-A98653FFCF61}"/>
                </c:ext>
              </c:extLst>
            </c:dLbl>
            <c:dLbl>
              <c:idx val="1"/>
              <c:layout>
                <c:manualLayout>
                  <c:x val="-7.4793762867627803E-2"/>
                  <c:y val="-2.6329113924050671E-2"/>
                </c:manualLayout>
              </c:layout>
              <c:tx>
                <c:rich>
                  <a:bodyPr/>
                  <a:lstStyle/>
                  <a:p>
                    <a:fld id="{99179F62-F7A7-450C-B35B-6805DCB571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4ACB-455E-9A96-A98653FFCF61}"/>
                </c:ext>
              </c:extLst>
            </c:dLbl>
            <c:dLbl>
              <c:idx val="2"/>
              <c:layout>
                <c:manualLayout>
                  <c:x val="-6.746104101786031E-2"/>
                  <c:y val="6.2784810126582283E-2"/>
                </c:manualLayout>
              </c:layout>
              <c:tx>
                <c:rich>
                  <a:bodyPr/>
                  <a:lstStyle/>
                  <a:p>
                    <a:fld id="{A8C9B00F-5AB2-42F7-8FB5-174CDC1015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4ACB-455E-9A96-A98653FFCF61}"/>
                </c:ext>
              </c:extLst>
            </c:dLbl>
            <c:dLbl>
              <c:idx val="3"/>
              <c:layout>
                <c:manualLayout>
                  <c:x val="-7.7726851607534772E-2"/>
                  <c:y val="-8.1012658227848106E-3"/>
                </c:manualLayout>
              </c:layout>
              <c:tx>
                <c:rich>
                  <a:bodyPr/>
                  <a:lstStyle/>
                  <a:p>
                    <a:fld id="{47A89114-7A3F-4B3E-8042-0F9A21AF31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ACB-455E-9A96-A98653FFCF61}"/>
                </c:ext>
              </c:extLst>
            </c:dLbl>
            <c:dLbl>
              <c:idx val="4"/>
              <c:tx>
                <c:rich>
                  <a:bodyPr/>
                  <a:lstStyle/>
                  <a:p>
                    <a:fld id="{4FC41D63-3EE9-43DE-9BD6-F85BC5BFAF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ACB-455E-9A96-A98653FFCF61}"/>
                </c:ext>
              </c:extLst>
            </c:dLbl>
            <c:dLbl>
              <c:idx val="5"/>
              <c:tx>
                <c:rich>
                  <a:bodyPr/>
                  <a:lstStyle/>
                  <a:p>
                    <a:fld id="{541C4296-DB62-46FA-8AA6-E74B0C2D68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ACB-455E-9A96-A98653FFCF61}"/>
                </c:ext>
              </c:extLst>
            </c:dLbl>
            <c:dLbl>
              <c:idx val="6"/>
              <c:tx>
                <c:rich>
                  <a:bodyPr/>
                  <a:lstStyle/>
                  <a:p>
                    <a:fld id="{4B605D6E-A878-4848-A6DE-AC24868C96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ACB-455E-9A96-A98653FFCF61}"/>
                </c:ext>
              </c:extLst>
            </c:dLbl>
            <c:dLbl>
              <c:idx val="7"/>
              <c:tx>
                <c:rich>
                  <a:bodyPr/>
                  <a:lstStyle/>
                  <a:p>
                    <a:fld id="{2686DF9B-A798-49D1-B10E-3621C55B33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Data'!$I$22:$I$29</c:f>
              <c:numCache>
                <c:formatCode>General</c:formatCode>
                <c:ptCount val="8"/>
                <c:pt idx="0">
                  <c:v>179</c:v>
                </c:pt>
                <c:pt idx="1">
                  <c:v>157</c:v>
                </c:pt>
                <c:pt idx="2">
                  <c:v>163</c:v>
                </c:pt>
                <c:pt idx="3">
                  <c:v>157</c:v>
                </c:pt>
                <c:pt idx="4">
                  <c:v>212</c:v>
                </c:pt>
                <c:pt idx="5">
                  <c:v>148</c:v>
                </c:pt>
                <c:pt idx="6">
                  <c:v>165</c:v>
                </c:pt>
                <c:pt idx="7">
                  <c:v>179</c:v>
                </c:pt>
              </c:numCache>
            </c:numRef>
          </c:xVal>
          <c:yVal>
            <c:numRef>
              <c:f>'January 2023 Data'!$H$22:$H$29</c:f>
              <c:numCache>
                <c:formatCode>General</c:formatCode>
                <c:ptCount val="8"/>
                <c:pt idx="0">
                  <c:v>184</c:v>
                </c:pt>
                <c:pt idx="1">
                  <c:v>187</c:v>
                </c:pt>
                <c:pt idx="2">
                  <c:v>184</c:v>
                </c:pt>
                <c:pt idx="3">
                  <c:v>189</c:v>
                </c:pt>
                <c:pt idx="4">
                  <c:v>190</c:v>
                </c:pt>
                <c:pt idx="5">
                  <c:v>175</c:v>
                </c:pt>
                <c:pt idx="6">
                  <c:v>178</c:v>
                </c:pt>
                <c:pt idx="7">
                  <c:v>189</c:v>
                </c:pt>
              </c:numCache>
            </c:numRef>
          </c:yVal>
          <c:smooth val="0"/>
          <c:extLst>
            <c:ext xmlns:c15="http://schemas.microsoft.com/office/drawing/2012/chart" uri="{02D57815-91ED-43cb-92C2-25804820EDAC}">
              <c15:datalabelsRange>
                <c15:f>'January 2023 Data'!$A$22:$A$29</c15:f>
                <c15:dlblRangeCache>
                  <c:ptCount val="8"/>
                  <c:pt idx="0">
                    <c:v>Nishikigi</c:v>
                  </c:pt>
                  <c:pt idx="1">
                    <c:v>Ryuden</c:v>
                  </c:pt>
                  <c:pt idx="2">
                    <c:v>Hokutofuji</c:v>
                  </c:pt>
                  <c:pt idx="3">
                    <c:v>Myogiryu</c:v>
                  </c:pt>
                  <c:pt idx="4">
                    <c:v>Ichinojo</c:v>
                  </c:pt>
                  <c:pt idx="5">
                    <c:v>Ura</c:v>
                  </c:pt>
                  <c:pt idx="6">
                    <c:v>Onosho</c:v>
                  </c:pt>
                  <c:pt idx="7">
                    <c:v>Oho</c:v>
                  </c:pt>
                </c15:dlblRangeCache>
              </c15:datalabelsRange>
            </c:ext>
            <c:ext xmlns:c16="http://schemas.microsoft.com/office/drawing/2014/chart" uri="{C3380CC4-5D6E-409C-BE32-E72D297353CC}">
              <c16:uniqueId val="{0000001F-4ACB-455E-9A96-A98653FFCF61}"/>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CD930A02-2B67-4D5C-A92B-CF13A6D644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ACB-455E-9A96-A98653FFCF61}"/>
                </c:ext>
              </c:extLst>
            </c:dLbl>
            <c:dLbl>
              <c:idx val="1"/>
              <c:tx>
                <c:rich>
                  <a:bodyPr/>
                  <a:lstStyle/>
                  <a:p>
                    <a:fld id="{46991DF0-0D99-4940-AD70-2D811FAF24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ACB-455E-9A96-A98653FFCF61}"/>
                </c:ext>
              </c:extLst>
            </c:dLbl>
            <c:dLbl>
              <c:idx val="2"/>
              <c:tx>
                <c:rich>
                  <a:bodyPr/>
                  <a:lstStyle/>
                  <a:p>
                    <a:fld id="{8E5F9684-F0E4-4F9C-85F9-FFC996C219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ACB-455E-9A96-A98653FFCF61}"/>
                </c:ext>
              </c:extLst>
            </c:dLbl>
            <c:dLbl>
              <c:idx val="3"/>
              <c:tx>
                <c:rich>
                  <a:bodyPr/>
                  <a:lstStyle/>
                  <a:p>
                    <a:fld id="{975D7334-1825-4DAD-8631-66A3DEBA4D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ACB-455E-9A96-A98653FFCF61}"/>
                </c:ext>
              </c:extLst>
            </c:dLbl>
            <c:dLbl>
              <c:idx val="4"/>
              <c:layout>
                <c:manualLayout>
                  <c:x val="4.3996331098604558E-3"/>
                  <c:y val="-2.2278481012658228E-2"/>
                </c:manualLayout>
              </c:layout>
              <c:tx>
                <c:rich>
                  <a:bodyPr/>
                  <a:lstStyle/>
                  <a:p>
                    <a:fld id="{141124F8-A9FA-4745-8AFE-8E2CC10E46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ACB-455E-9A96-A98653FFCF61}"/>
                </c:ext>
              </c:extLst>
            </c:dLbl>
            <c:dLbl>
              <c:idx val="5"/>
              <c:layout>
                <c:manualLayout>
                  <c:x val="1.4665443699534851E-3"/>
                  <c:y val="2.0253164556962027E-3"/>
                </c:manualLayout>
              </c:layout>
              <c:tx>
                <c:rich>
                  <a:bodyPr/>
                  <a:lstStyle/>
                  <a:p>
                    <a:fld id="{07FABFB4-5F6B-49CE-A635-4A5904AD07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ACB-455E-9A96-A98653FFCF61}"/>
                </c:ext>
              </c:extLst>
            </c:dLbl>
            <c:dLbl>
              <c:idx val="6"/>
              <c:layout>
                <c:manualLayout>
                  <c:x val="-8.2126484717395171E-2"/>
                  <c:y val="-5.8734177215189871E-2"/>
                </c:manualLayout>
              </c:layout>
              <c:tx>
                <c:rich>
                  <a:bodyPr/>
                  <a:lstStyle/>
                  <a:p>
                    <a:fld id="{71312555-67AF-42D9-8FA5-869237C895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ACB-455E-9A96-A98653FFCF61}"/>
                </c:ext>
              </c:extLst>
            </c:dLbl>
            <c:dLbl>
              <c:idx val="7"/>
              <c:tx>
                <c:rich>
                  <a:bodyPr/>
                  <a:lstStyle/>
                  <a:p>
                    <a:fld id="{87D1CC39-6A3A-4E0D-9BC4-15D209E1C6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Data'!$I$30:$I$37</c:f>
              <c:numCache>
                <c:formatCode>General</c:formatCode>
                <c:ptCount val="8"/>
                <c:pt idx="0">
                  <c:v>150</c:v>
                </c:pt>
                <c:pt idx="1">
                  <c:v>167</c:v>
                </c:pt>
                <c:pt idx="2">
                  <c:v>184</c:v>
                </c:pt>
                <c:pt idx="3">
                  <c:v>138</c:v>
                </c:pt>
                <c:pt idx="4">
                  <c:v>182</c:v>
                </c:pt>
                <c:pt idx="5">
                  <c:v>137</c:v>
                </c:pt>
                <c:pt idx="6">
                  <c:v>161</c:v>
                </c:pt>
                <c:pt idx="7">
                  <c:v>156</c:v>
                </c:pt>
              </c:numCache>
            </c:numRef>
          </c:xVal>
          <c:yVal>
            <c:numRef>
              <c:f>'January 2023 Data'!$H$30:$H$37</c:f>
              <c:numCache>
                <c:formatCode>General</c:formatCode>
                <c:ptCount val="8"/>
                <c:pt idx="0">
                  <c:v>183</c:v>
                </c:pt>
                <c:pt idx="1">
                  <c:v>184</c:v>
                </c:pt>
                <c:pt idx="2">
                  <c:v>190</c:v>
                </c:pt>
                <c:pt idx="3">
                  <c:v>178</c:v>
                </c:pt>
                <c:pt idx="4">
                  <c:v>192</c:v>
                </c:pt>
                <c:pt idx="5">
                  <c:v>183</c:v>
                </c:pt>
                <c:pt idx="6">
                  <c:v>189</c:v>
                </c:pt>
                <c:pt idx="7">
                  <c:v>193</c:v>
                </c:pt>
              </c:numCache>
            </c:numRef>
          </c:yVal>
          <c:smooth val="0"/>
          <c:extLst>
            <c:ext xmlns:c15="http://schemas.microsoft.com/office/drawing/2012/chart" uri="{02D57815-91ED-43cb-92C2-25804820EDAC}">
              <c15:datalabelsRange>
                <c15:f>'January 2023 Data'!$A$30:$A$37</c15:f>
                <c15:dlblRangeCache>
                  <c:ptCount val="8"/>
                  <c:pt idx="0">
                    <c:v>Endo</c:v>
                  </c:pt>
                  <c:pt idx="1">
                    <c:v>Takanosho</c:v>
                  </c:pt>
                  <c:pt idx="2">
                    <c:v>Aoiyama</c:v>
                  </c:pt>
                  <c:pt idx="3">
                    <c:v>Hiradoumi</c:v>
                  </c:pt>
                  <c:pt idx="4">
                    <c:v>Tochinoshin</c:v>
                  </c:pt>
                  <c:pt idx="5">
                    <c:v>Chiyoshoma</c:v>
                  </c:pt>
                  <c:pt idx="6">
                    <c:v>Okinoumi</c:v>
                  </c:pt>
                  <c:pt idx="7">
                    <c:v>Kagayaki</c:v>
                  </c:pt>
                </c15:dlblRangeCache>
              </c15:datalabelsRange>
            </c:ext>
            <c:ext xmlns:c16="http://schemas.microsoft.com/office/drawing/2014/chart" uri="{C3380CC4-5D6E-409C-BE32-E72D297353CC}">
              <c16:uniqueId val="{00000028-4ACB-455E-9A96-A98653FFCF61}"/>
            </c:ext>
          </c:extLst>
        </c:ser>
        <c:ser>
          <c:idx val="7"/>
          <c:order val="7"/>
          <c:tx>
            <c:v>M13-16</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layout>
                <c:manualLayout>
                  <c:x val="0"/>
                  <c:y val="-2.0253164556962026E-2"/>
                </c:manualLayout>
              </c:layout>
              <c:tx>
                <c:rich>
                  <a:bodyPr/>
                  <a:lstStyle/>
                  <a:p>
                    <a:fld id="{30308E17-9169-437D-9107-A45BE447B6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ACB-455E-9A96-A98653FFCF61}"/>
                </c:ext>
              </c:extLst>
            </c:dLbl>
            <c:dLbl>
              <c:idx val="1"/>
              <c:tx>
                <c:rich>
                  <a:bodyPr/>
                  <a:lstStyle/>
                  <a:p>
                    <a:fld id="{3A692954-9FEC-4E76-90D8-5339EB3156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4ACB-455E-9A96-A98653FFCF61}"/>
                </c:ext>
              </c:extLst>
            </c:dLbl>
            <c:dLbl>
              <c:idx val="2"/>
              <c:layout>
                <c:manualLayout>
                  <c:x val="-9.6791928416930045E-2"/>
                  <c:y val="-2.8354430379746873E-2"/>
                </c:manualLayout>
              </c:layout>
              <c:tx>
                <c:rich>
                  <a:bodyPr/>
                  <a:lstStyle/>
                  <a:p>
                    <a:fld id="{EA6060CA-FBA9-4113-BB91-A468A70111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4ACB-455E-9A96-A98653FFCF61}"/>
                </c:ext>
              </c:extLst>
            </c:dLbl>
            <c:dLbl>
              <c:idx val="3"/>
              <c:tx>
                <c:rich>
                  <a:bodyPr/>
                  <a:lstStyle/>
                  <a:p>
                    <a:fld id="{CE8E9092-C1A7-4A9D-8FD5-D88EF1F493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4ACB-455E-9A96-A98653FFCF61}"/>
                </c:ext>
              </c:extLst>
            </c:dLbl>
            <c:dLbl>
              <c:idx val="4"/>
              <c:tx>
                <c:rich>
                  <a:bodyPr/>
                  <a:lstStyle/>
                  <a:p>
                    <a:fld id="{BDFB2BC3-356A-423D-BF6C-51A925FA2F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4ACB-455E-9A96-A98653FFCF61}"/>
                </c:ext>
              </c:extLst>
            </c:dLbl>
            <c:dLbl>
              <c:idx val="5"/>
              <c:tx>
                <c:rich>
                  <a:bodyPr/>
                  <a:lstStyle/>
                  <a:p>
                    <a:fld id="{60B1903A-C2DD-43F9-8291-27E0CC5057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4ACB-455E-9A96-A98653FFCF61}"/>
                </c:ext>
              </c:extLst>
            </c:dLbl>
            <c:dLbl>
              <c:idx val="6"/>
              <c:layout>
                <c:manualLayout>
                  <c:x val="-1.9065076809395308E-2"/>
                  <c:y val="-2.6329113924050632E-2"/>
                </c:manualLayout>
              </c:layout>
              <c:tx>
                <c:rich>
                  <a:bodyPr/>
                  <a:lstStyle/>
                  <a:p>
                    <a:fld id="{FDC6CEB9-081F-4C40-B3D2-33F763672A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4ACB-455E-9A96-A98653FFCF61}"/>
                </c:ext>
              </c:extLst>
            </c:dLbl>
            <c:dLbl>
              <c:idx val="7"/>
              <c:tx>
                <c:rich>
                  <a:bodyPr/>
                  <a:lstStyle/>
                  <a:p>
                    <a:fld id="{12271C84-6AE6-47ED-A270-865F83A79A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4ACB-455E-9A96-A98653FFCF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'January 2023 Data'!$I$38:$I$45</c:f>
              <c:numCache>
                <c:formatCode>General</c:formatCode>
                <c:ptCount val="8"/>
                <c:pt idx="0">
                  <c:v>163</c:v>
                </c:pt>
                <c:pt idx="1">
                  <c:v>128</c:v>
                </c:pt>
                <c:pt idx="2">
                  <c:v>146</c:v>
                </c:pt>
                <c:pt idx="3">
                  <c:v>162</c:v>
                </c:pt>
                <c:pt idx="4">
                  <c:v>200</c:v>
                </c:pt>
                <c:pt idx="5">
                  <c:v>197</c:v>
                </c:pt>
                <c:pt idx="6">
                  <c:v>171</c:v>
                </c:pt>
                <c:pt idx="7">
                  <c:v>169</c:v>
                </c:pt>
              </c:numCache>
            </c:numRef>
          </c:xVal>
          <c:yVal>
            <c:numRef>
              <c:f>'January 2023 Data'!$H$38:$H$45</c:f>
              <c:numCache>
                <c:formatCode>General</c:formatCode>
                <c:ptCount val="8"/>
                <c:pt idx="0">
                  <c:v>189</c:v>
                </c:pt>
                <c:pt idx="1">
                  <c:v>176</c:v>
                </c:pt>
                <c:pt idx="2">
                  <c:v>187</c:v>
                </c:pt>
                <c:pt idx="3">
                  <c:v>191</c:v>
                </c:pt>
                <c:pt idx="4">
                  <c:v>184</c:v>
                </c:pt>
                <c:pt idx="5">
                  <c:v>190</c:v>
                </c:pt>
                <c:pt idx="6">
                  <c:v>186</c:v>
                </c:pt>
                <c:pt idx="7">
                  <c:v>177</c:v>
                </c:pt>
              </c:numCache>
            </c:numRef>
          </c:yVal>
          <c:smooth val="0"/>
          <c:extLst>
            <c:ext xmlns:c15="http://schemas.microsoft.com/office/drawing/2012/chart" uri="{02D57815-91ED-43cb-92C2-25804820EDAC}">
              <c15:datalabelsRange>
                <c15:f>'January 2023 Data'!$A$38:$A$45</c15:f>
                <c15:dlblRangeCache>
                  <c:ptCount val="8"/>
                  <c:pt idx="0">
                    <c:v>Kotoshoho</c:v>
                  </c:pt>
                  <c:pt idx="1">
                    <c:v>Kotoeko</c:v>
                  </c:pt>
                  <c:pt idx="2">
                    <c:v>Ichiyamamoto</c:v>
                  </c:pt>
                  <c:pt idx="3">
                    <c:v>Azumaryu</c:v>
                  </c:pt>
                  <c:pt idx="4">
                    <c:v>Tsurugisho</c:v>
                  </c:pt>
                  <c:pt idx="5">
                    <c:v>Mitoryu</c:v>
                  </c:pt>
                  <c:pt idx="6">
                    <c:v>Takarafuji</c:v>
                  </c:pt>
                  <c:pt idx="7">
                    <c:v>Chiyomaru</c:v>
                  </c:pt>
                </c15:dlblRangeCache>
              </c15:datalabelsRange>
            </c:ext>
            <c:ext xmlns:c16="http://schemas.microsoft.com/office/drawing/2014/chart" uri="{C3380CC4-5D6E-409C-BE32-E72D297353CC}">
              <c16:uniqueId val="{00000031-4ACB-455E-9A96-A98653FFCF61}"/>
            </c:ext>
          </c:extLst>
        </c:ser>
        <c:dLbls>
          <c:showLegendKey val="0"/>
          <c:showVal val="0"/>
          <c:showCatName val="0"/>
          <c:showSerName val="0"/>
          <c:showPercent val="0"/>
          <c:showBubbleSize val="0"/>
        </c:dLbls>
        <c:axId val="745971600"/>
        <c:axId val="745971928"/>
      </c:scatterChart>
      <c:valAx>
        <c:axId val="745971600"/>
        <c:scaling>
          <c:orientation val="minMax"/>
          <c:max val="22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ax val="195"/>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Change in weight </a:t>
            </a:r>
          </a:p>
          <a:p>
            <a:pPr>
              <a:defRPr/>
            </a:pPr>
            <a:r>
              <a:rPr lang="en-US" sz="2000"/>
              <a:t>Nov 2022 - Jan 2023</a:t>
            </a:r>
          </a:p>
        </c:rich>
      </c:tx>
      <c:layout>
        <c:manualLayout>
          <c:xMode val="edge"/>
          <c:yMode val="edge"/>
          <c:x val="8.4981684981684985E-2"/>
          <c:y val="2.429149797570850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189264803438036E-2"/>
          <c:y val="1.1118460900889414E-2"/>
          <c:w val="0.91769351907934582"/>
          <c:h val="0.90385970225381751"/>
        </c:manualLayout>
      </c:layout>
      <c:barChart>
        <c:barDir val="col"/>
        <c:grouping val="clustered"/>
        <c:varyColors val="0"/>
        <c:ser>
          <c:idx val="0"/>
          <c:order val="0"/>
          <c:tx>
            <c:v>Change in weight Nov 2022 - Jan 2023</c:v>
          </c:tx>
          <c:spPr>
            <a:solidFill>
              <a:schemeClr val="accent4"/>
            </a:solidFill>
            <a:ln>
              <a:noFill/>
            </a:ln>
            <a:effectLst/>
          </c:spPr>
          <c:invertIfNegative val="0"/>
          <c:cat>
            <c:numRef>
              <c:f>'January 2023 Data'!$V$4:$V$18</c:f>
              <c:numCache>
                <c:formatCode>General</c:formatCode>
                <c:ptCount val="15"/>
                <c:pt idx="0">
                  <c:v>-3</c:v>
                </c:pt>
                <c:pt idx="1">
                  <c:v>-2</c:v>
                </c:pt>
                <c:pt idx="2">
                  <c:v>-1</c:v>
                </c:pt>
                <c:pt idx="3">
                  <c:v>0</c:v>
                </c:pt>
                <c:pt idx="4">
                  <c:v>1</c:v>
                </c:pt>
                <c:pt idx="5">
                  <c:v>2</c:v>
                </c:pt>
                <c:pt idx="6">
                  <c:v>3</c:v>
                </c:pt>
                <c:pt idx="7">
                  <c:v>4</c:v>
                </c:pt>
                <c:pt idx="8">
                  <c:v>5</c:v>
                </c:pt>
                <c:pt idx="9">
                  <c:v>6</c:v>
                </c:pt>
                <c:pt idx="10">
                  <c:v>7</c:v>
                </c:pt>
                <c:pt idx="11">
                  <c:v>8</c:v>
                </c:pt>
                <c:pt idx="12">
                  <c:v>9</c:v>
                </c:pt>
                <c:pt idx="13">
                  <c:v>10</c:v>
                </c:pt>
                <c:pt idx="14">
                  <c:v>11</c:v>
                </c:pt>
              </c:numCache>
            </c:numRef>
          </c:cat>
          <c:val>
            <c:numRef>
              <c:f>'January 2023 Data'!$W$4:$W$18</c:f>
              <c:numCache>
                <c:formatCode>General</c:formatCode>
                <c:ptCount val="15"/>
                <c:pt idx="0">
                  <c:v>3</c:v>
                </c:pt>
                <c:pt idx="1">
                  <c:v>1</c:v>
                </c:pt>
                <c:pt idx="2">
                  <c:v>1</c:v>
                </c:pt>
                <c:pt idx="3">
                  <c:v>6</c:v>
                </c:pt>
                <c:pt idx="4">
                  <c:v>4</c:v>
                </c:pt>
                <c:pt idx="5">
                  <c:v>3</c:v>
                </c:pt>
                <c:pt idx="6">
                  <c:v>10</c:v>
                </c:pt>
                <c:pt idx="7">
                  <c:v>2</c:v>
                </c:pt>
                <c:pt idx="8">
                  <c:v>6</c:v>
                </c:pt>
                <c:pt idx="9">
                  <c:v>1</c:v>
                </c:pt>
                <c:pt idx="10">
                  <c:v>1</c:v>
                </c:pt>
                <c:pt idx="11">
                  <c:v>1</c:v>
                </c:pt>
                <c:pt idx="12">
                  <c:v>1</c:v>
                </c:pt>
                <c:pt idx="13">
                  <c:v>0</c:v>
                </c:pt>
                <c:pt idx="14">
                  <c:v>1</c:v>
                </c:pt>
              </c:numCache>
            </c:numRef>
          </c:val>
          <c:extLst>
            <c:ext xmlns:c16="http://schemas.microsoft.com/office/drawing/2014/chart" uri="{C3380CC4-5D6E-409C-BE32-E72D297353CC}">
              <c16:uniqueId val="{00000000-58D7-4245-8833-D44E43232CBE}"/>
            </c:ext>
          </c:extLst>
        </c:ser>
        <c:dLbls>
          <c:showLegendKey val="0"/>
          <c:showVal val="0"/>
          <c:showCatName val="0"/>
          <c:showSerName val="0"/>
          <c:showPercent val="0"/>
          <c:showBubbleSize val="0"/>
        </c:dLbls>
        <c:gapWidth val="38"/>
        <c:overlap val="-27"/>
        <c:axId val="378171888"/>
        <c:axId val="378172304"/>
      </c:barChart>
      <c:catAx>
        <c:axId val="3781718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Change in Kilograms</a:t>
                </a:r>
              </a:p>
            </c:rich>
          </c:tx>
          <c:layout>
            <c:manualLayout>
              <c:xMode val="edge"/>
              <c:yMode val="edge"/>
              <c:x val="7.4307057771624718E-2"/>
              <c:y val="0.954392712550607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2304"/>
        <c:crosses val="autoZero"/>
        <c:auto val="1"/>
        <c:lblAlgn val="ctr"/>
        <c:lblOffset val="100"/>
        <c:noMultiLvlLbl val="0"/>
      </c:catAx>
      <c:valAx>
        <c:axId val="378172304"/>
        <c:scaling>
          <c:orientation val="minMax"/>
          <c:max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600"/>
                  <a:t>Number of Makuuchi wrestlers</a:t>
                </a:r>
              </a:p>
            </c:rich>
          </c:tx>
          <c:layout>
            <c:manualLayout>
              <c:xMode val="edge"/>
              <c:yMode val="edge"/>
              <c:x val="0"/>
              <c:y val="1.05178679588128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71888"/>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March 2023 Makuuchi Wrestlers</a:t>
            </a:r>
          </a:p>
        </c:rich>
      </c:tx>
      <c:layout>
        <c:manualLayout>
          <c:xMode val="edge"/>
          <c:yMode val="edge"/>
          <c:x val="0.29465809481105421"/>
          <c:y val="1.21212121212121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2322130974421734E-2"/>
          <c:y val="7.4949017736419307E-2"/>
          <c:w val="0.81188907136193378"/>
          <c:h val="0.85594431898299383"/>
        </c:manualLayout>
      </c:layout>
      <c:scatterChart>
        <c:scatterStyle val="lineMarker"/>
        <c:varyColors val="0"/>
        <c:ser>
          <c:idx val="0"/>
          <c:order val="0"/>
          <c:tx>
            <c:strRef>
              <c:f>'September 2022 Data'!$C$4</c:f>
              <c:strCache>
                <c:ptCount val="1"/>
                <c:pt idx="0">
                  <c:v>Yokozuna</c:v>
                </c:pt>
              </c:strCache>
            </c:strRef>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2.7864343029116324E-2"/>
                  <c:y val="-3.0303030303030304E-2"/>
                </c:manualLayout>
              </c:layout>
              <c:tx>
                <c:rich>
                  <a:bodyPr/>
                  <a:lstStyle/>
                  <a:p>
                    <a:fld id="{4FAC22B6-E997-4746-B6AC-EC30924D8B24}" type="CELLREF">
                      <a:rPr lang="en-US"/>
                      <a:pPr/>
                      <a:t>[CELLREF]</a:t>
                    </a:fld>
                    <a:endParaRPr lang="en-US"/>
                  </a:p>
                </c:rich>
              </c:tx>
              <c:showLegendKey val="0"/>
              <c:showVal val="1"/>
              <c:showCatName val="0"/>
              <c:showSerName val="0"/>
              <c:showPercent val="0"/>
              <c:showBubbleSize val="0"/>
              <c:extLst>
                <c:ext xmlns:c15="http://schemas.microsoft.com/office/drawing/2012/chart" uri="{CE6537A1-D6FC-4f65-9D91-7224C49458BB}">
                  <c15:dlblFieldTable>
                    <c15:dlblFTEntry>
                      <c15:txfldGUID>{4FAC22B6-E997-4746-B6AC-EC30924D8B24}</c15:txfldGUID>
                      <c15:f>'March 2023 Data'!$A$4</c15:f>
                      <c15:dlblFieldTableCache>
                        <c:ptCount val="1"/>
                        <c:pt idx="0">
                          <c:v>Terunofuji</c:v>
                        </c:pt>
                      </c15:dlblFieldTableCache>
                    </c15:dlblFTEntry>
                  </c15:dlblFieldTable>
                  <c15:showDataLabelsRange val="0"/>
                </c:ext>
                <c:ext xmlns:c16="http://schemas.microsoft.com/office/drawing/2014/chart" uri="{C3380CC4-5D6E-409C-BE32-E72D297353CC}">
                  <c16:uniqueId val="{00000000-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'March 2023 Data'!$J$4</c:f>
              <c:numCache>
                <c:formatCode>General</c:formatCode>
                <c:ptCount val="1"/>
                <c:pt idx="0">
                  <c:v>180</c:v>
                </c:pt>
              </c:numCache>
            </c:numRef>
          </c:xVal>
          <c:yVal>
            <c:numRef>
              <c:f>'March 2023 Data'!$I$4</c:f>
              <c:numCache>
                <c:formatCode>General</c:formatCode>
                <c:ptCount val="1"/>
                <c:pt idx="0">
                  <c:v>192</c:v>
                </c:pt>
              </c:numCache>
            </c:numRef>
          </c:yVal>
          <c:smooth val="0"/>
          <c:extLst>
            <c:ext xmlns:c16="http://schemas.microsoft.com/office/drawing/2014/chart" uri="{C3380CC4-5D6E-409C-BE32-E72D297353CC}">
              <c16:uniqueId val="{00000001-5B85-4AE0-8D30-117960B5E123}"/>
            </c:ext>
          </c:extLst>
        </c:ser>
        <c:ser>
          <c:idx val="1"/>
          <c:order val="1"/>
          <c:tx>
            <c:strRef>
              <c:f>'September 2022 Data'!$C$5</c:f>
              <c:strCache>
                <c:ptCount val="1"/>
                <c:pt idx="0">
                  <c:v>Ozeki</c:v>
                </c:pt>
              </c:strCache>
            </c:strRef>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51C74A4F-D944-424C-A928-9CE7C894C5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Data'!$J$5</c:f>
              <c:numCache>
                <c:formatCode>General</c:formatCode>
                <c:ptCount val="1"/>
                <c:pt idx="0">
                  <c:v>165</c:v>
                </c:pt>
              </c:numCache>
            </c:numRef>
          </c:xVal>
          <c:yVal>
            <c:numRef>
              <c:f>'March 2023 Data'!$I$5</c:f>
              <c:numCache>
                <c:formatCode>General</c:formatCode>
                <c:ptCount val="1"/>
                <c:pt idx="0">
                  <c:v>175</c:v>
                </c:pt>
              </c:numCache>
            </c:numRef>
          </c:yVal>
          <c:smooth val="0"/>
          <c:extLst>
            <c:ext xmlns:c15="http://schemas.microsoft.com/office/drawing/2012/chart" uri="{02D57815-91ED-43cb-92C2-25804820EDAC}">
              <c15:datalabelsRange>
                <c15:f>'March 2023 Data'!$A$5</c15:f>
                <c15:dlblRangeCache>
                  <c:ptCount val="1"/>
                  <c:pt idx="0">
                    <c:v>Takakeisho</c:v>
                  </c:pt>
                </c15:dlblRangeCache>
              </c15:datalabelsRange>
            </c:ext>
            <c:ext xmlns:c16="http://schemas.microsoft.com/office/drawing/2014/chart" uri="{C3380CC4-5D6E-409C-BE32-E72D297353CC}">
              <c16:uniqueId val="{00000003-5B85-4AE0-8D30-117960B5E123}"/>
            </c:ext>
          </c:extLst>
        </c:ser>
        <c:ser>
          <c:idx val="2"/>
          <c:order val="2"/>
          <c:tx>
            <c:strRef>
              <c:f>'March 2023 Data'!$F$6</c:f>
              <c:strCache>
                <c:ptCount val="1"/>
                <c:pt idx="0">
                  <c:v>Sekiwake</c:v>
                </c:pt>
              </c:strCache>
            </c:strRef>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layout>
                <c:manualLayout>
                  <c:x val="-5.572868605823246E-2"/>
                  <c:y val="3.0303030303030228E-2"/>
                </c:manualLayout>
              </c:layout>
              <c:tx>
                <c:rich>
                  <a:bodyPr/>
                  <a:lstStyle/>
                  <a:p>
                    <a:fld id="{11B59D36-18F6-4E8B-A87B-F70303D7F2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85-4AE0-8D30-117960B5E123}"/>
                </c:ext>
              </c:extLst>
            </c:dLbl>
            <c:dLbl>
              <c:idx val="1"/>
              <c:layout>
                <c:manualLayout>
                  <c:x val="-5.1329052948371978E-2"/>
                  <c:y val="-3.8383838383838381E-2"/>
                </c:manualLayout>
              </c:layout>
              <c:tx>
                <c:rich>
                  <a:bodyPr/>
                  <a:lstStyle/>
                  <a:p>
                    <a:fld id="{93A688E8-C810-4047-8EFF-6DAF97EFA3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B85-4AE0-8D30-117960B5E123}"/>
                </c:ext>
              </c:extLst>
            </c:dLbl>
            <c:dLbl>
              <c:idx val="2"/>
              <c:layout>
                <c:manualLayout>
                  <c:x val="-9.6791928416930045E-2"/>
                  <c:y val="-4.0404040404041141E-3"/>
                </c:manualLayout>
              </c:layout>
              <c:tx>
                <c:rich>
                  <a:bodyPr/>
                  <a:lstStyle/>
                  <a:p>
                    <a:fld id="{DFFC28BB-BA23-4BF8-B74B-5AC7CC6684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Data'!$J$6:$J$8</c:f>
              <c:numCache>
                <c:formatCode>General</c:formatCode>
                <c:ptCount val="3"/>
                <c:pt idx="0">
                  <c:v>132</c:v>
                </c:pt>
                <c:pt idx="1">
                  <c:v>141</c:v>
                </c:pt>
                <c:pt idx="2">
                  <c:v>140</c:v>
                </c:pt>
              </c:numCache>
            </c:numRef>
          </c:xVal>
          <c:yVal>
            <c:numRef>
              <c:f>'March 2023 Data'!$I$6:$I$8</c:f>
              <c:numCache>
                <c:formatCode>General</c:formatCode>
                <c:ptCount val="3"/>
                <c:pt idx="0">
                  <c:v>182</c:v>
                </c:pt>
                <c:pt idx="1">
                  <c:v>188</c:v>
                </c:pt>
                <c:pt idx="2">
                  <c:v>186</c:v>
                </c:pt>
              </c:numCache>
            </c:numRef>
          </c:yVal>
          <c:smooth val="0"/>
          <c:extLst>
            <c:ext xmlns:c15="http://schemas.microsoft.com/office/drawing/2012/chart" uri="{02D57815-91ED-43cb-92C2-25804820EDAC}">
              <c15:datalabelsRange>
                <c15:f>'March 2023 Data'!$A$6:$A$8</c15:f>
                <c15:dlblRangeCache>
                  <c:ptCount val="3"/>
                  <c:pt idx="0">
                    <c:v>Wakatakakage</c:v>
                  </c:pt>
                  <c:pt idx="1">
                    <c:v>Hoshoryu</c:v>
                  </c:pt>
                  <c:pt idx="2">
                    <c:v>Kiribayama</c:v>
                  </c:pt>
                </c15:dlblRangeCache>
              </c15:datalabelsRange>
            </c:ext>
            <c:ext xmlns:c16="http://schemas.microsoft.com/office/drawing/2014/chart" uri="{C3380CC4-5D6E-409C-BE32-E72D297353CC}">
              <c16:uniqueId val="{00000008-5B85-4AE0-8D30-117960B5E123}"/>
            </c:ext>
          </c:extLst>
        </c:ser>
        <c:ser>
          <c:idx val="3"/>
          <c:order val="3"/>
          <c:tx>
            <c:strRef>
              <c:f>'September 2022 Data'!$C$11</c:f>
              <c:strCache>
                <c:ptCount val="1"/>
                <c:pt idx="0">
                  <c:v>Komusubi</c:v>
                </c:pt>
              </c:strCache>
            </c:strRef>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layout>
                <c:manualLayout>
                  <c:x val="-7.9193395977488201E-2"/>
                  <c:y val="2.6262626262626262E-2"/>
                </c:manualLayout>
              </c:layout>
              <c:tx>
                <c:rich>
                  <a:bodyPr/>
                  <a:lstStyle/>
                  <a:p>
                    <a:fld id="{11AD5E97-BA46-4B4C-96DC-41E9DC96BB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B85-4AE0-8D30-117960B5E123}"/>
                </c:ext>
              </c:extLst>
            </c:dLbl>
            <c:dLbl>
              <c:idx val="1"/>
              <c:layout>
                <c:manualLayout>
                  <c:x val="-1.4665443699534852E-2"/>
                  <c:y val="2.8282828282828285E-2"/>
                </c:manualLayout>
              </c:layout>
              <c:tx>
                <c:rich>
                  <a:bodyPr/>
                  <a:lstStyle/>
                  <a:p>
                    <a:fld id="{A7417946-024F-4714-B02D-65FF12B052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B85-4AE0-8D30-117960B5E123}"/>
                </c:ext>
              </c:extLst>
            </c:dLbl>
            <c:dLbl>
              <c:idx val="2"/>
              <c:tx>
                <c:rich>
                  <a:bodyPr/>
                  <a:lstStyle/>
                  <a:p>
                    <a:fld id="{AE1B6C34-5C30-4EC1-9FE5-ABDB20F68B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B85-4AE0-8D30-117960B5E123}"/>
                </c:ext>
              </c:extLst>
            </c:dLbl>
            <c:dLbl>
              <c:idx val="3"/>
              <c:tx>
                <c:rich>
                  <a:bodyPr/>
                  <a:lstStyle/>
                  <a:p>
                    <a:fld id="{666BAAD2-1CE1-4633-80AF-30837930CB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Data'!$J$9:$J$12</c:f>
              <c:numCache>
                <c:formatCode>General</c:formatCode>
                <c:ptCount val="4"/>
                <c:pt idx="0">
                  <c:v>172</c:v>
                </c:pt>
                <c:pt idx="1">
                  <c:v>143</c:v>
                </c:pt>
                <c:pt idx="2">
                  <c:v>165</c:v>
                </c:pt>
                <c:pt idx="3">
                  <c:v>133</c:v>
                </c:pt>
              </c:numCache>
            </c:numRef>
          </c:xVal>
          <c:yVal>
            <c:numRef>
              <c:f>'March 2023 Data'!$I$9:$I$12</c:f>
              <c:numCache>
                <c:formatCode>General</c:formatCode>
                <c:ptCount val="4"/>
                <c:pt idx="0">
                  <c:v>189</c:v>
                </c:pt>
                <c:pt idx="1">
                  <c:v>187</c:v>
                </c:pt>
                <c:pt idx="2">
                  <c:v>182</c:v>
                </c:pt>
                <c:pt idx="3">
                  <c:v>174</c:v>
                </c:pt>
              </c:numCache>
            </c:numRef>
          </c:yVal>
          <c:smooth val="0"/>
          <c:extLst>
            <c:ext xmlns:c15="http://schemas.microsoft.com/office/drawing/2012/chart" uri="{02D57815-91ED-43cb-92C2-25804820EDAC}">
              <c15:datalabelsRange>
                <c15:f>'March 2023 Data'!$A$9:$A$12</c15:f>
                <c15:dlblRangeCache>
                  <c:ptCount val="4"/>
                  <c:pt idx="0">
                    <c:v>Kotonowaka</c:v>
                  </c:pt>
                  <c:pt idx="1">
                    <c:v>Wakamotoharu</c:v>
                  </c:pt>
                  <c:pt idx="2">
                    <c:v>Daieisho</c:v>
                  </c:pt>
                  <c:pt idx="3">
                    <c:v>Tobizaru</c:v>
                  </c:pt>
                </c15:dlblRangeCache>
              </c15:datalabelsRange>
            </c:ext>
            <c:ext xmlns:c16="http://schemas.microsoft.com/office/drawing/2014/chart" uri="{C3380CC4-5D6E-409C-BE32-E72D297353CC}">
              <c16:uniqueId val="{0000000D-5B85-4AE0-8D30-117960B5E123}"/>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layout>
                <c:manualLayout>
                  <c:x val="4.3996331098604558E-3"/>
                  <c:y val="-1.0101010101010102E-2"/>
                </c:manualLayout>
              </c:layout>
              <c:tx>
                <c:rich>
                  <a:bodyPr/>
                  <a:lstStyle/>
                  <a:p>
                    <a:fld id="{F76B24AB-20B0-42D9-A8A6-78CB2F0099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B85-4AE0-8D30-117960B5E123}"/>
                </c:ext>
              </c:extLst>
            </c:dLbl>
            <c:dLbl>
              <c:idx val="1"/>
              <c:tx>
                <c:rich>
                  <a:bodyPr/>
                  <a:lstStyle/>
                  <a:p>
                    <a:fld id="{94F5DFF1-3E0F-4B21-9D1F-9015A16DC1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B85-4AE0-8D30-117960B5E123}"/>
                </c:ext>
              </c:extLst>
            </c:dLbl>
            <c:dLbl>
              <c:idx val="2"/>
              <c:tx>
                <c:rich>
                  <a:bodyPr/>
                  <a:lstStyle/>
                  <a:p>
                    <a:fld id="{1A2DDD0E-40C6-426C-8BC7-4673BE2ED7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B85-4AE0-8D30-117960B5E123}"/>
                </c:ext>
              </c:extLst>
            </c:dLbl>
            <c:dLbl>
              <c:idx val="3"/>
              <c:layout>
                <c:manualLayout>
                  <c:x val="-5.4262141688278948E-2"/>
                  <c:y val="2.0202020202020204E-2"/>
                </c:manualLayout>
              </c:layout>
              <c:tx>
                <c:rich>
                  <a:bodyPr/>
                  <a:lstStyle/>
                  <a:p>
                    <a:fld id="{865D1090-04C9-4A84-A5C6-F4ABEA492D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B85-4AE0-8D30-117960B5E123}"/>
                </c:ext>
              </c:extLst>
            </c:dLbl>
            <c:dLbl>
              <c:idx val="4"/>
              <c:tx>
                <c:rich>
                  <a:bodyPr/>
                  <a:lstStyle/>
                  <a:p>
                    <a:fld id="{FB77AEB6-FEB4-48D2-9C1D-617D9D9CCA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B85-4AE0-8D30-117960B5E123}"/>
                </c:ext>
              </c:extLst>
            </c:dLbl>
            <c:dLbl>
              <c:idx val="5"/>
              <c:tx>
                <c:rich>
                  <a:bodyPr/>
                  <a:lstStyle/>
                  <a:p>
                    <a:fld id="{C8B4CA41-F8E9-4CE3-A65B-9D54558661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B85-4AE0-8D30-117960B5E123}"/>
                </c:ext>
              </c:extLst>
            </c:dLbl>
            <c:dLbl>
              <c:idx val="6"/>
              <c:tx>
                <c:rich>
                  <a:bodyPr/>
                  <a:lstStyle/>
                  <a:p>
                    <a:fld id="{5D697DCC-BCA2-4A9F-90FC-CCA755FF31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B85-4AE0-8D30-117960B5E123}"/>
                </c:ext>
              </c:extLst>
            </c:dLbl>
            <c:dLbl>
              <c:idx val="7"/>
              <c:tx>
                <c:rich>
                  <a:bodyPr/>
                  <a:lstStyle/>
                  <a:p>
                    <a:fld id="{3AF11EA8-26A9-4D56-8673-87EF21EFD2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Data'!$J$13:$J$20</c:f>
              <c:numCache>
                <c:formatCode>General</c:formatCode>
                <c:ptCount val="8"/>
                <c:pt idx="0">
                  <c:v>160</c:v>
                </c:pt>
                <c:pt idx="1">
                  <c:v>174</c:v>
                </c:pt>
                <c:pt idx="2">
                  <c:v>156</c:v>
                </c:pt>
                <c:pt idx="3">
                  <c:v>154</c:v>
                </c:pt>
                <c:pt idx="4">
                  <c:v>170</c:v>
                </c:pt>
                <c:pt idx="5">
                  <c:v>176</c:v>
                </c:pt>
                <c:pt idx="6">
                  <c:v>154</c:v>
                </c:pt>
                <c:pt idx="7">
                  <c:v>164</c:v>
                </c:pt>
              </c:numCache>
            </c:numRef>
          </c:xVal>
          <c:yVal>
            <c:numRef>
              <c:f>'March 2023 Data'!$I$13:$I$20</c:f>
              <c:numCache>
                <c:formatCode>General</c:formatCode>
                <c:ptCount val="8"/>
                <c:pt idx="0">
                  <c:v>184</c:v>
                </c:pt>
                <c:pt idx="1">
                  <c:v>189</c:v>
                </c:pt>
                <c:pt idx="2">
                  <c:v>186</c:v>
                </c:pt>
                <c:pt idx="3">
                  <c:v>188</c:v>
                </c:pt>
                <c:pt idx="4">
                  <c:v>179</c:v>
                </c:pt>
                <c:pt idx="5">
                  <c:v>185</c:v>
                </c:pt>
                <c:pt idx="6">
                  <c:v>180</c:v>
                </c:pt>
                <c:pt idx="7">
                  <c:v>177</c:v>
                </c:pt>
              </c:numCache>
            </c:numRef>
          </c:yVal>
          <c:smooth val="0"/>
          <c:extLst>
            <c:ext xmlns:c15="http://schemas.microsoft.com/office/drawing/2012/chart" uri="{02D57815-91ED-43cb-92C2-25804820EDAC}">
              <c15:datalabelsRange>
                <c15:f>'March 2023 Data'!$A$13:$A$20</c15:f>
                <c15:dlblRangeCache>
                  <c:ptCount val="8"/>
                  <c:pt idx="0">
                    <c:v>Shodai</c:v>
                  </c:pt>
                  <c:pt idx="1">
                    <c:v>Tamawashi</c:v>
                  </c:pt>
                  <c:pt idx="2">
                    <c:v>Abi</c:v>
                  </c:pt>
                  <c:pt idx="3">
                    <c:v>Ryuden</c:v>
                  </c:pt>
                  <c:pt idx="4">
                    <c:v>Mitakeumi</c:v>
                  </c:pt>
                  <c:pt idx="5">
                    <c:v>Nishikigi</c:v>
                  </c:pt>
                  <c:pt idx="6">
                    <c:v>Meisei</c:v>
                  </c:pt>
                  <c:pt idx="7">
                    <c:v>Onosho</c:v>
                  </c:pt>
                </c15:dlblRangeCache>
              </c15:datalabelsRange>
            </c:ext>
            <c:ext xmlns:c16="http://schemas.microsoft.com/office/drawing/2014/chart" uri="{C3380CC4-5D6E-409C-BE32-E72D297353CC}">
              <c16:uniqueId val="{00000016-5B85-4AE0-8D30-117960B5E123}"/>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055B5F96-A644-4AFA-8A13-7B65622867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B85-4AE0-8D30-117960B5E123}"/>
                </c:ext>
              </c:extLst>
            </c:dLbl>
            <c:dLbl>
              <c:idx val="1"/>
              <c:tx>
                <c:rich>
                  <a:bodyPr/>
                  <a:lstStyle/>
                  <a:p>
                    <a:fld id="{CE013A12-6D9C-48FD-9B40-232E41FE93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B85-4AE0-8D30-117960B5E123}"/>
                </c:ext>
              </c:extLst>
            </c:dLbl>
            <c:dLbl>
              <c:idx val="2"/>
              <c:tx>
                <c:rich>
                  <a:bodyPr/>
                  <a:lstStyle/>
                  <a:p>
                    <a:fld id="{4E7D3FE1-29F5-4DB8-A467-76E3D34591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B85-4AE0-8D30-117960B5E123}"/>
                </c:ext>
              </c:extLst>
            </c:dLbl>
            <c:dLbl>
              <c:idx val="3"/>
              <c:layout>
                <c:manualLayout>
                  <c:x val="1.0265810589674396E-2"/>
                  <c:y val="-4.0404040404041141E-3"/>
                </c:manualLayout>
              </c:layout>
              <c:tx>
                <c:rich>
                  <a:bodyPr/>
                  <a:lstStyle/>
                  <a:p>
                    <a:fld id="{799340C5-2971-425D-ABA1-2EE92FCF0F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B85-4AE0-8D30-117960B5E123}"/>
                </c:ext>
              </c:extLst>
            </c:dLbl>
            <c:dLbl>
              <c:idx val="4"/>
              <c:tx>
                <c:rich>
                  <a:bodyPr/>
                  <a:lstStyle/>
                  <a:p>
                    <a:fld id="{D75A8D33-A3C4-4317-B42D-28E34F1372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B85-4AE0-8D30-117960B5E123}"/>
                </c:ext>
              </c:extLst>
            </c:dLbl>
            <c:dLbl>
              <c:idx val="5"/>
              <c:layout>
                <c:manualLayout>
                  <c:x val="-3.3730520508930155E-2"/>
                  <c:y val="3.0303030303030228E-2"/>
                </c:manualLayout>
              </c:layout>
              <c:tx>
                <c:rich>
                  <a:bodyPr/>
                  <a:lstStyle/>
                  <a:p>
                    <a:fld id="{58733CA1-B942-4671-B913-B603611937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5B85-4AE0-8D30-117960B5E123}"/>
                </c:ext>
              </c:extLst>
            </c:dLbl>
            <c:dLbl>
              <c:idx val="6"/>
              <c:tx>
                <c:rich>
                  <a:bodyPr/>
                  <a:lstStyle/>
                  <a:p>
                    <a:fld id="{D5887896-75E4-4CA3-9103-4889109AE3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B85-4AE0-8D30-117960B5E123}"/>
                </c:ext>
              </c:extLst>
            </c:dLbl>
            <c:dLbl>
              <c:idx val="7"/>
              <c:layout>
                <c:manualLayout>
                  <c:x val="-2.0531621179348793E-2"/>
                  <c:y val="-4.0404040404040407E-2"/>
                </c:manualLayout>
              </c:layout>
              <c:tx>
                <c:rich>
                  <a:bodyPr/>
                  <a:lstStyle/>
                  <a:p>
                    <a:fld id="{8AE5B1FA-C1A3-46EA-A70D-138A4F5684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Data'!$J$21:$J$28</c:f>
              <c:numCache>
                <c:formatCode>General</c:formatCode>
                <c:ptCount val="8"/>
                <c:pt idx="0">
                  <c:v>117</c:v>
                </c:pt>
                <c:pt idx="1">
                  <c:v>163</c:v>
                </c:pt>
                <c:pt idx="2">
                  <c:v>142</c:v>
                </c:pt>
                <c:pt idx="3">
                  <c:v>150</c:v>
                </c:pt>
                <c:pt idx="4">
                  <c:v>177</c:v>
                </c:pt>
                <c:pt idx="5">
                  <c:v>159</c:v>
                </c:pt>
                <c:pt idx="6">
                  <c:v>146</c:v>
                </c:pt>
                <c:pt idx="7">
                  <c:v>146</c:v>
                </c:pt>
              </c:numCache>
            </c:numRef>
          </c:xVal>
          <c:yVal>
            <c:numRef>
              <c:f>'March 2023 Data'!$I$21:$I$28</c:f>
              <c:numCache>
                <c:formatCode>General</c:formatCode>
                <c:ptCount val="8"/>
                <c:pt idx="0">
                  <c:v>171</c:v>
                </c:pt>
                <c:pt idx="1">
                  <c:v>191</c:v>
                </c:pt>
                <c:pt idx="2">
                  <c:v>182</c:v>
                </c:pt>
                <c:pt idx="3">
                  <c:v>184</c:v>
                </c:pt>
                <c:pt idx="4">
                  <c:v>188</c:v>
                </c:pt>
                <c:pt idx="5">
                  <c:v>184</c:v>
                </c:pt>
                <c:pt idx="6">
                  <c:v>175</c:v>
                </c:pt>
                <c:pt idx="7">
                  <c:v>187</c:v>
                </c:pt>
              </c:numCache>
            </c:numRef>
          </c:yVal>
          <c:smooth val="0"/>
          <c:extLst>
            <c:ext xmlns:c15="http://schemas.microsoft.com/office/drawing/2012/chart" uri="{02D57815-91ED-43cb-92C2-25804820EDAC}">
              <c15:datalabelsRange>
                <c15:f>'March 2023 Data'!$A$21:$A$28</c15:f>
                <c15:dlblRangeCache>
                  <c:ptCount val="8"/>
                  <c:pt idx="0">
                    <c:v>Midorifuji</c:v>
                  </c:pt>
                  <c:pt idx="1">
                    <c:v>Kotoshoho</c:v>
                  </c:pt>
                  <c:pt idx="2">
                    <c:v>Sadanoumi</c:v>
                  </c:pt>
                  <c:pt idx="3">
                    <c:v>Endo</c:v>
                  </c:pt>
                  <c:pt idx="4">
                    <c:v>Takayasu</c:v>
                  </c:pt>
                  <c:pt idx="5">
                    <c:v>Hokutofuji</c:v>
                  </c:pt>
                  <c:pt idx="6">
                    <c:v>Ura</c:v>
                  </c:pt>
                  <c:pt idx="7">
                    <c:v>Ichiyamamoto</c:v>
                  </c:pt>
                </c15:dlblRangeCache>
              </c15:datalabelsRange>
            </c:ext>
            <c:ext xmlns:c16="http://schemas.microsoft.com/office/drawing/2014/chart" uri="{C3380CC4-5D6E-409C-BE32-E72D297353CC}">
              <c16:uniqueId val="{0000001F-5B85-4AE0-8D30-117960B5E123}"/>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F71BBB1C-EEBF-4A38-A168-7D46859F7B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B85-4AE0-8D30-117960B5E123}"/>
                </c:ext>
              </c:extLst>
            </c:dLbl>
            <c:dLbl>
              <c:idx val="1"/>
              <c:tx>
                <c:rich>
                  <a:bodyPr/>
                  <a:lstStyle/>
                  <a:p>
                    <a:fld id="{B558ABD8-0B9E-4CAA-A29D-3BADCF7D91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B85-4AE0-8D30-117960B5E123}"/>
                </c:ext>
              </c:extLst>
            </c:dLbl>
            <c:dLbl>
              <c:idx val="2"/>
              <c:layout>
                <c:manualLayout>
                  <c:x val="-4.252978672865107E-2"/>
                  <c:y val="1.4141414141414068E-2"/>
                </c:manualLayout>
              </c:layout>
              <c:tx>
                <c:rich>
                  <a:bodyPr/>
                  <a:lstStyle/>
                  <a:p>
                    <a:fld id="{57C1E988-9A7F-41F3-8408-A6DD28674D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5B85-4AE0-8D30-117960B5E123}"/>
                </c:ext>
              </c:extLst>
            </c:dLbl>
            <c:dLbl>
              <c:idx val="3"/>
              <c:layout>
                <c:manualLayout>
                  <c:x val="-1.4665443699535389E-3"/>
                  <c:y val="-2.0202020202020204E-2"/>
                </c:manualLayout>
              </c:layout>
              <c:tx>
                <c:rich>
                  <a:bodyPr/>
                  <a:lstStyle/>
                  <a:p>
                    <a:fld id="{7DB085E0-ABA8-4E17-BCC4-79F3195342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5B85-4AE0-8D30-117960B5E123}"/>
                </c:ext>
              </c:extLst>
            </c:dLbl>
            <c:dLbl>
              <c:idx val="4"/>
              <c:tx>
                <c:rich>
                  <a:bodyPr/>
                  <a:lstStyle/>
                  <a:p>
                    <a:fld id="{ABDA6297-953B-4776-A12E-E930688F3F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B85-4AE0-8D30-117960B5E123}"/>
                </c:ext>
              </c:extLst>
            </c:dLbl>
            <c:dLbl>
              <c:idx val="5"/>
              <c:tx>
                <c:rich>
                  <a:bodyPr/>
                  <a:lstStyle/>
                  <a:p>
                    <a:fld id="{8BEC20DF-9F38-405D-8BED-ED606B70E7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B85-4AE0-8D30-117960B5E123}"/>
                </c:ext>
              </c:extLst>
            </c:dLbl>
            <c:dLbl>
              <c:idx val="6"/>
              <c:tx>
                <c:rich>
                  <a:bodyPr/>
                  <a:lstStyle/>
                  <a:p>
                    <a:fld id="{893C20E9-BA66-46B3-93FC-A98D92EA73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B85-4AE0-8D30-117960B5E123}"/>
                </c:ext>
              </c:extLst>
            </c:dLbl>
            <c:dLbl>
              <c:idx val="7"/>
              <c:tx>
                <c:rich>
                  <a:bodyPr/>
                  <a:lstStyle/>
                  <a:p>
                    <a:fld id="{DFA96321-2B78-4611-A812-08A848A7F6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Data'!$J$29:$J$36</c:f>
              <c:numCache>
                <c:formatCode>General</c:formatCode>
                <c:ptCount val="8"/>
                <c:pt idx="0">
                  <c:v>189</c:v>
                </c:pt>
                <c:pt idx="1">
                  <c:v>135</c:v>
                </c:pt>
                <c:pt idx="2">
                  <c:v>150</c:v>
                </c:pt>
                <c:pt idx="3">
                  <c:v>156</c:v>
                </c:pt>
                <c:pt idx="4">
                  <c:v>165</c:v>
                </c:pt>
                <c:pt idx="5">
                  <c:v>159</c:v>
                </c:pt>
                <c:pt idx="6">
                  <c:v>156</c:v>
                </c:pt>
                <c:pt idx="7">
                  <c:v>171</c:v>
                </c:pt>
              </c:numCache>
            </c:numRef>
          </c:xVal>
          <c:yVal>
            <c:numRef>
              <c:f>'March 2023 Data'!$I$29:$I$36</c:f>
              <c:numCache>
                <c:formatCode>General</c:formatCode>
                <c:ptCount val="8"/>
                <c:pt idx="0">
                  <c:v>191</c:v>
                </c:pt>
                <c:pt idx="1">
                  <c:v>177</c:v>
                </c:pt>
                <c:pt idx="2">
                  <c:v>184</c:v>
                </c:pt>
                <c:pt idx="3">
                  <c:v>188</c:v>
                </c:pt>
                <c:pt idx="4">
                  <c:v>183</c:v>
                </c:pt>
                <c:pt idx="5">
                  <c:v>192</c:v>
                </c:pt>
                <c:pt idx="6">
                  <c:v>193</c:v>
                </c:pt>
                <c:pt idx="7">
                  <c:v>186</c:v>
                </c:pt>
              </c:numCache>
            </c:numRef>
          </c:yVal>
          <c:smooth val="0"/>
          <c:extLst>
            <c:ext xmlns:c15="http://schemas.microsoft.com/office/drawing/2012/chart" uri="{02D57815-91ED-43cb-92C2-25804820EDAC}">
              <c15:datalabelsRange>
                <c15:f>'March 2023 Data'!$A$29:$A$36</c15:f>
                <c15:dlblRangeCache>
                  <c:ptCount val="8"/>
                  <c:pt idx="0">
                    <c:v>Aoiyama</c:v>
                  </c:pt>
                  <c:pt idx="1">
                    <c:v>Hiradoumi</c:v>
                  </c:pt>
                  <c:pt idx="2">
                    <c:v>Nishikifuji</c:v>
                  </c:pt>
                  <c:pt idx="3">
                    <c:v>Myogiryu</c:v>
                  </c:pt>
                  <c:pt idx="4">
                    <c:v>Takanosho</c:v>
                  </c:pt>
                  <c:pt idx="5">
                    <c:v>Azumaryu</c:v>
                  </c:pt>
                  <c:pt idx="6">
                    <c:v>Kagayaki</c:v>
                  </c:pt>
                  <c:pt idx="7">
                    <c:v>Takarafuji</c:v>
                  </c:pt>
                </c15:dlblRangeCache>
              </c15:datalabelsRange>
            </c:ext>
            <c:ext xmlns:c16="http://schemas.microsoft.com/office/drawing/2014/chart" uri="{C3380CC4-5D6E-409C-BE32-E72D297353CC}">
              <c16:uniqueId val="{00000028-5B85-4AE0-8D30-117960B5E123}"/>
            </c:ext>
          </c:extLst>
        </c:ser>
        <c:ser>
          <c:idx val="7"/>
          <c:order val="7"/>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tx>
                <c:rich>
                  <a:bodyPr/>
                  <a:lstStyle/>
                  <a:p>
                    <a:fld id="{37374B89-D74C-425A-9F21-1D5497FC00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5B85-4AE0-8D30-117960B5E123}"/>
                </c:ext>
              </c:extLst>
            </c:dLbl>
            <c:dLbl>
              <c:idx val="1"/>
              <c:tx>
                <c:rich>
                  <a:bodyPr/>
                  <a:lstStyle/>
                  <a:p>
                    <a:fld id="{7D40501B-7A6C-4A39-8960-9649D02F88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5B85-4AE0-8D30-117960B5E123}"/>
                </c:ext>
              </c:extLst>
            </c:dLbl>
            <c:dLbl>
              <c:idx val="2"/>
              <c:layout>
                <c:manualLayout>
                  <c:x val="-4.3996331098604555E-2"/>
                  <c:y val="-2.6262626262626262E-2"/>
                </c:manualLayout>
              </c:layout>
              <c:tx>
                <c:rich>
                  <a:bodyPr/>
                  <a:lstStyle/>
                  <a:p>
                    <a:fld id="{8EF0C0D6-E891-489B-843C-AEE1397C53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5B85-4AE0-8D30-117960B5E123}"/>
                </c:ext>
              </c:extLst>
            </c:dLbl>
            <c:dLbl>
              <c:idx val="3"/>
              <c:tx>
                <c:rich>
                  <a:bodyPr/>
                  <a:lstStyle/>
                  <a:p>
                    <a:fld id="{24D33B95-D3BC-4608-98E5-6FCDD69B94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5B85-4AE0-8D30-117960B5E123}"/>
                </c:ext>
              </c:extLst>
            </c:dLbl>
            <c:dLbl>
              <c:idx val="4"/>
              <c:tx>
                <c:rich>
                  <a:bodyPr/>
                  <a:lstStyle/>
                  <a:p>
                    <a:fld id="{19C04F85-2280-41F4-B208-29E90C0934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5B85-4AE0-8D30-117960B5E123}"/>
                </c:ext>
              </c:extLst>
            </c:dLbl>
            <c:dLbl>
              <c:idx val="5"/>
              <c:tx>
                <c:rich>
                  <a:bodyPr/>
                  <a:lstStyle/>
                  <a:p>
                    <a:fld id="{E80CADEE-7949-4D0C-952E-FAE2CA005F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5B85-4AE0-8D30-117960B5E123}"/>
                </c:ext>
              </c:extLst>
            </c:dLbl>
            <c:dLbl>
              <c:idx val="6"/>
              <c:tx>
                <c:rich>
                  <a:bodyPr/>
                  <a:lstStyle/>
                  <a:p>
                    <a:fld id="{54B93066-4FAD-4DC2-9E93-D5BCD45C6B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5B85-4AE0-8D30-117960B5E123}"/>
                </c:ext>
              </c:extLst>
            </c:dLbl>
            <c:dLbl>
              <c:idx val="7"/>
              <c:tx>
                <c:rich>
                  <a:bodyPr/>
                  <a:lstStyle/>
                  <a:p>
                    <a:fld id="{F1B507F4-5AF1-4FD4-A54B-2B0ECD3200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5B85-4AE0-8D30-117960B5E123}"/>
                </c:ext>
              </c:extLst>
            </c:dLbl>
            <c:dLbl>
              <c:idx val="8"/>
              <c:tx>
                <c:rich>
                  <a:bodyPr/>
                  <a:lstStyle/>
                  <a:p>
                    <a:fld id="{4E0A71C9-85F5-426F-963F-E34B218E9E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5B85-4AE0-8D30-117960B5E1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'March 2023 Data'!$J$37:$J$45</c:f>
              <c:numCache>
                <c:formatCode>General</c:formatCode>
                <c:ptCount val="9"/>
                <c:pt idx="0">
                  <c:v>129</c:v>
                </c:pt>
                <c:pt idx="1">
                  <c:v>189</c:v>
                </c:pt>
                <c:pt idx="2">
                  <c:v>174</c:v>
                </c:pt>
                <c:pt idx="3">
                  <c:v>171</c:v>
                </c:pt>
                <c:pt idx="4">
                  <c:v>178</c:v>
                </c:pt>
                <c:pt idx="5">
                  <c:v>177</c:v>
                </c:pt>
                <c:pt idx="6">
                  <c:v>137</c:v>
                </c:pt>
                <c:pt idx="7">
                  <c:v>200</c:v>
                </c:pt>
                <c:pt idx="8">
                  <c:v>194</c:v>
                </c:pt>
              </c:numCache>
            </c:numRef>
          </c:xVal>
          <c:yVal>
            <c:numRef>
              <c:f>'March 2023 Data'!$I$37:$I$45</c:f>
              <c:numCache>
                <c:formatCode>General</c:formatCode>
                <c:ptCount val="9"/>
                <c:pt idx="0">
                  <c:v>176</c:v>
                </c:pt>
                <c:pt idx="1">
                  <c:v>185</c:v>
                </c:pt>
                <c:pt idx="2">
                  <c:v>192</c:v>
                </c:pt>
                <c:pt idx="3">
                  <c:v>171</c:v>
                </c:pt>
                <c:pt idx="4">
                  <c:v>190</c:v>
                </c:pt>
                <c:pt idx="5">
                  <c:v>204</c:v>
                </c:pt>
                <c:pt idx="6">
                  <c:v>184</c:v>
                </c:pt>
                <c:pt idx="7">
                  <c:v>185</c:v>
                </c:pt>
                <c:pt idx="8">
                  <c:v>189</c:v>
                </c:pt>
              </c:numCache>
            </c:numRef>
          </c:yVal>
          <c:smooth val="0"/>
          <c:extLst>
            <c:ext xmlns:c15="http://schemas.microsoft.com/office/drawing/2012/chart" uri="{02D57815-91ED-43cb-92C2-25804820EDAC}">
              <c15:datalabelsRange>
                <c15:f>'March 2023 Data'!$A$37:$A$45</c15:f>
                <c15:dlblRangeCache>
                  <c:ptCount val="9"/>
                  <c:pt idx="0">
                    <c:v>Kotoeko</c:v>
                  </c:pt>
                  <c:pt idx="1">
                    <c:v>Daishoho</c:v>
                  </c:pt>
                  <c:pt idx="2">
                    <c:v>Kinbozan</c:v>
                  </c:pt>
                  <c:pt idx="3">
                    <c:v>Bushozan</c:v>
                  </c:pt>
                  <c:pt idx="4">
                    <c:v>Oho</c:v>
                  </c:pt>
                  <c:pt idx="5">
                    <c:v>Hokuseiho</c:v>
                  </c:pt>
                  <c:pt idx="6">
                    <c:v>Chiyoshoma</c:v>
                  </c:pt>
                  <c:pt idx="7">
                    <c:v>Tsurugisho</c:v>
                  </c:pt>
                  <c:pt idx="8">
                    <c:v>Mitoryu</c:v>
                  </c:pt>
                </c15:dlblRangeCache>
              </c15:datalabelsRange>
            </c:ext>
            <c:ext xmlns:c16="http://schemas.microsoft.com/office/drawing/2014/chart" uri="{C3380CC4-5D6E-409C-BE32-E72D297353CC}">
              <c16:uniqueId val="{00000031-5B85-4AE0-8D30-117960B5E123}"/>
            </c:ext>
          </c:extLst>
        </c:ser>
        <c:dLbls>
          <c:showLegendKey val="0"/>
          <c:showVal val="0"/>
          <c:showCatName val="0"/>
          <c:showSerName val="0"/>
          <c:showPercent val="0"/>
          <c:showBubbleSize val="0"/>
        </c:dLbls>
        <c:axId val="745971600"/>
        <c:axId val="745971928"/>
      </c:scatterChart>
      <c:valAx>
        <c:axId val="745971600"/>
        <c:scaling>
          <c:orientation val="minMax"/>
          <c:max val="210"/>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May 2023 Makuuchi Wrestlers </a:t>
            </a:r>
          </a:p>
        </c:rich>
      </c:tx>
      <c:layout>
        <c:manualLayout>
          <c:xMode val="edge"/>
          <c:yMode val="edge"/>
          <c:x val="0.30492390540072861"/>
          <c:y val="1.61616161616161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0855586604468249E-2"/>
          <c:y val="7.8989421776823346E-2"/>
          <c:w val="0.81188907136193378"/>
          <c:h val="0.85594431898299383"/>
        </c:manualLayout>
      </c:layout>
      <c:scatterChart>
        <c:scatterStyle val="lineMarker"/>
        <c:varyColors val="0"/>
        <c:ser>
          <c:idx val="0"/>
          <c:order val="0"/>
          <c:tx>
            <c:v>Yokozuna</c:v>
          </c:tx>
          <c:spPr>
            <a:ln w="25400" cap="rnd">
              <a:noFill/>
              <a:round/>
            </a:ln>
            <a:effectLst/>
          </c:spPr>
          <c:marker>
            <c:symbol val="circle"/>
            <c:size val="20"/>
            <c:spPr>
              <a:solidFill>
                <a:schemeClr val="accent1"/>
              </a:solidFill>
              <a:ln w="9525">
                <a:solidFill>
                  <a:schemeClr val="accent6">
                    <a:lumMod val="60000"/>
                    <a:alpha val="85000"/>
                  </a:schemeClr>
                </a:solidFill>
              </a:ln>
              <a:effectLst/>
            </c:spPr>
          </c:marker>
          <c:dLbls>
            <c:dLbl>
              <c:idx val="0"/>
              <c:layout>
                <c:manualLayout>
                  <c:x val="-1.9065076809395308E-2"/>
                  <c:y val="-4.4444444444444446E-2"/>
                </c:manualLayout>
              </c:layout>
              <c:tx>
                <c:rich>
                  <a:bodyPr/>
                  <a:lstStyle/>
                  <a:p>
                    <a:fld id="{6CFA8FB9-701A-4C88-B998-96E5EDE4C2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Data'!$L$4</c:f>
              <c:numCache>
                <c:formatCode>General</c:formatCode>
                <c:ptCount val="1"/>
                <c:pt idx="0">
                  <c:v>174</c:v>
                </c:pt>
              </c:numCache>
            </c:numRef>
          </c:xVal>
          <c:yVal>
            <c:numRef>
              <c:f>'May 2023 Data'!$K$4</c:f>
              <c:numCache>
                <c:formatCode>General</c:formatCode>
                <c:ptCount val="1"/>
                <c:pt idx="0">
                  <c:v>192</c:v>
                </c:pt>
              </c:numCache>
            </c:numRef>
          </c:yVal>
          <c:smooth val="0"/>
          <c:extLst>
            <c:ext xmlns:c15="http://schemas.microsoft.com/office/drawing/2012/chart" uri="{02D57815-91ED-43cb-92C2-25804820EDAC}">
              <c15:datalabelsRange>
                <c15:f>'May 2023 Data'!$A$4</c15:f>
                <c15:dlblRangeCache>
                  <c:ptCount val="1"/>
                  <c:pt idx="0">
                    <c:v>Terunofuji</c:v>
                  </c:pt>
                </c15:dlblRangeCache>
              </c15:datalabelsRange>
            </c:ext>
            <c:ext xmlns:c16="http://schemas.microsoft.com/office/drawing/2014/chart" uri="{C3380CC4-5D6E-409C-BE32-E72D297353CC}">
              <c16:uniqueId val="{00000001-6A53-4CC9-BC04-CCB30645214F}"/>
            </c:ext>
          </c:extLst>
        </c:ser>
        <c:ser>
          <c:idx val="1"/>
          <c:order val="1"/>
          <c:tx>
            <c:v>Ozeki</c:v>
          </c:tx>
          <c:spPr>
            <a:ln w="25400" cap="rnd">
              <a:noFill/>
              <a:round/>
            </a:ln>
            <a:effectLst/>
          </c:spPr>
          <c:marker>
            <c:symbol val="circle"/>
            <c:size val="11"/>
            <c:spPr>
              <a:solidFill>
                <a:schemeClr val="accent2"/>
              </a:solidFill>
              <a:ln w="9525">
                <a:solidFill>
                  <a:schemeClr val="accent6">
                    <a:lumMod val="60000"/>
                  </a:schemeClr>
                </a:solidFill>
              </a:ln>
              <a:effectLst/>
            </c:spPr>
          </c:marker>
          <c:dLbls>
            <c:dLbl>
              <c:idx val="0"/>
              <c:tx>
                <c:rich>
                  <a:bodyPr/>
                  <a:lstStyle/>
                  <a:p>
                    <a:fld id="{5A1E04D6-F4FD-46A6-81B7-4077CC457B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Data'!$L$5</c:f>
              <c:numCache>
                <c:formatCode>General</c:formatCode>
                <c:ptCount val="1"/>
                <c:pt idx="0">
                  <c:v>165</c:v>
                </c:pt>
              </c:numCache>
            </c:numRef>
          </c:xVal>
          <c:yVal>
            <c:numRef>
              <c:f>'May 2023 Data'!$K$5</c:f>
              <c:numCache>
                <c:formatCode>General</c:formatCode>
                <c:ptCount val="1"/>
                <c:pt idx="0">
                  <c:v>175</c:v>
                </c:pt>
              </c:numCache>
            </c:numRef>
          </c:yVal>
          <c:smooth val="0"/>
          <c:extLst>
            <c:ext xmlns:c15="http://schemas.microsoft.com/office/drawing/2012/chart" uri="{02D57815-91ED-43cb-92C2-25804820EDAC}">
              <c15:datalabelsRange>
                <c15:f>'May 2023 Data'!$A$5</c15:f>
                <c15:dlblRangeCache>
                  <c:ptCount val="1"/>
                  <c:pt idx="0">
                    <c:v>Takakeisho</c:v>
                  </c:pt>
                </c15:dlblRangeCache>
              </c15:datalabelsRange>
            </c:ext>
            <c:ext xmlns:c16="http://schemas.microsoft.com/office/drawing/2014/chart" uri="{C3380CC4-5D6E-409C-BE32-E72D297353CC}">
              <c16:uniqueId val="{00000003-6A53-4CC9-BC04-CCB30645214F}"/>
            </c:ext>
          </c:extLst>
        </c:ser>
        <c:ser>
          <c:idx val="2"/>
          <c:order val="2"/>
          <c:tx>
            <c:v>Sekiwake</c:v>
          </c:tx>
          <c:spPr>
            <a:ln w="25400" cap="rnd">
              <a:noFill/>
              <a:round/>
            </a:ln>
            <a:effectLst/>
          </c:spPr>
          <c:marker>
            <c:symbol val="circle"/>
            <c:size val="15"/>
            <c:spPr>
              <a:solidFill>
                <a:schemeClr val="accent3"/>
              </a:solidFill>
              <a:ln w="9525">
                <a:solidFill>
                  <a:schemeClr val="accent6">
                    <a:lumMod val="60000"/>
                  </a:schemeClr>
                </a:solidFill>
              </a:ln>
              <a:effectLst/>
            </c:spPr>
          </c:marker>
          <c:dLbls>
            <c:dLbl>
              <c:idx val="0"/>
              <c:tx>
                <c:rich>
                  <a:bodyPr/>
                  <a:lstStyle/>
                  <a:p>
                    <a:fld id="{DDE0E7D2-9AF3-4B52-A3A5-9BA9907FD9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53-4CC9-BC04-CCB30645214F}"/>
                </c:ext>
              </c:extLst>
            </c:dLbl>
            <c:dLbl>
              <c:idx val="1"/>
              <c:layout>
                <c:manualLayout>
                  <c:x val="-8.7992662197209654E-3"/>
                  <c:y val="-2.2222222222222223E-2"/>
                </c:manualLayout>
              </c:layout>
              <c:tx>
                <c:rich>
                  <a:bodyPr/>
                  <a:lstStyle/>
                  <a:p>
                    <a:fld id="{0ED14F74-CC1D-44BA-9258-F5800E3D6A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A53-4CC9-BC04-CCB30645214F}"/>
                </c:ext>
              </c:extLst>
            </c:dLbl>
            <c:dLbl>
              <c:idx val="2"/>
              <c:tx>
                <c:rich>
                  <a:bodyPr/>
                  <a:lstStyle/>
                  <a:p>
                    <a:fld id="{37F371A2-B8CF-4F2B-8835-F80F6C78E0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53-4CC9-BC04-CCB30645214F}"/>
                </c:ext>
              </c:extLst>
            </c:dLbl>
            <c:dLbl>
              <c:idx val="3"/>
              <c:tx>
                <c:rich>
                  <a:bodyPr/>
                  <a:lstStyle/>
                  <a:p>
                    <a:fld id="{BD8E29D7-5EF0-4A99-8856-CF3C0F5DBF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Data'!$L$6:$L$9</c:f>
              <c:numCache>
                <c:formatCode>General</c:formatCode>
                <c:ptCount val="4"/>
                <c:pt idx="0">
                  <c:v>143</c:v>
                </c:pt>
                <c:pt idx="1">
                  <c:v>142</c:v>
                </c:pt>
                <c:pt idx="2">
                  <c:v>147</c:v>
                </c:pt>
                <c:pt idx="3">
                  <c:v>164</c:v>
                </c:pt>
              </c:numCache>
            </c:numRef>
          </c:xVal>
          <c:yVal>
            <c:numRef>
              <c:f>'May 2023 Data'!$K$6:$K$9</c:f>
              <c:numCache>
                <c:formatCode>General</c:formatCode>
                <c:ptCount val="4"/>
                <c:pt idx="0">
                  <c:v>186</c:v>
                </c:pt>
                <c:pt idx="1">
                  <c:v>188</c:v>
                </c:pt>
                <c:pt idx="2">
                  <c:v>187</c:v>
                </c:pt>
                <c:pt idx="3">
                  <c:v>182</c:v>
                </c:pt>
              </c:numCache>
            </c:numRef>
          </c:yVal>
          <c:smooth val="0"/>
          <c:extLst>
            <c:ext xmlns:c15="http://schemas.microsoft.com/office/drawing/2012/chart" uri="{02D57815-91ED-43cb-92C2-25804820EDAC}">
              <c15:datalabelsRange>
                <c15:f>'May 2023 Data'!$A$6:$A$9</c15:f>
                <c15:dlblRangeCache>
                  <c:ptCount val="4"/>
                  <c:pt idx="0">
                    <c:v>Kirishima</c:v>
                  </c:pt>
                  <c:pt idx="1">
                    <c:v>Hoshoryu</c:v>
                  </c:pt>
                  <c:pt idx="2">
                    <c:v>Wakamotoharu</c:v>
                  </c:pt>
                  <c:pt idx="3">
                    <c:v>Daieisho</c:v>
                  </c:pt>
                </c15:dlblRangeCache>
              </c15:datalabelsRange>
            </c:ext>
            <c:ext xmlns:c16="http://schemas.microsoft.com/office/drawing/2014/chart" uri="{C3380CC4-5D6E-409C-BE32-E72D297353CC}">
              <c16:uniqueId val="{00000007-6A53-4CC9-BC04-CCB30645214F}"/>
            </c:ext>
          </c:extLst>
        </c:ser>
        <c:ser>
          <c:idx val="3"/>
          <c:order val="3"/>
          <c:tx>
            <c:v>Komusubi</c:v>
          </c:tx>
          <c:spPr>
            <a:ln w="25400" cap="rnd">
              <a:noFill/>
              <a:round/>
            </a:ln>
            <a:effectLst/>
          </c:spPr>
          <c:marker>
            <c:symbol val="circle"/>
            <c:size val="12"/>
            <c:spPr>
              <a:solidFill>
                <a:schemeClr val="accent4"/>
              </a:solidFill>
              <a:ln w="9525">
                <a:solidFill>
                  <a:schemeClr val="accent6">
                    <a:lumMod val="60000"/>
                  </a:schemeClr>
                </a:solidFill>
              </a:ln>
              <a:effectLst/>
            </c:spPr>
          </c:marker>
          <c:dLbls>
            <c:dLbl>
              <c:idx val="0"/>
              <c:tx>
                <c:rich>
                  <a:bodyPr/>
                  <a:lstStyle/>
                  <a:p>
                    <a:fld id="{54C8C8CF-2CFB-4F96-A8D6-FF5EFBC951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53-4CC9-BC04-CCB30645214F}"/>
                </c:ext>
              </c:extLst>
            </c:dLbl>
            <c:dLbl>
              <c:idx val="1"/>
              <c:tx>
                <c:rich>
                  <a:bodyPr/>
                  <a:lstStyle/>
                  <a:p>
                    <a:fld id="{C18CC38A-3FBF-49F2-A8BB-DEFEE442A8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53-4CC9-BC04-CCB30645214F}"/>
                </c:ext>
              </c:extLst>
            </c:dLbl>
            <c:dLbl>
              <c:idx val="2"/>
              <c:tx>
                <c:rich>
                  <a:bodyPr/>
                  <a:lstStyle/>
                  <a:p>
                    <a:fld id="{4F92A012-8DE7-4FAA-BF40-7286F081A6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Data'!$L$10:$L$12</c:f>
              <c:numCache>
                <c:formatCode>General</c:formatCode>
                <c:ptCount val="3"/>
                <c:pt idx="0">
                  <c:v>176</c:v>
                </c:pt>
                <c:pt idx="1">
                  <c:v>158</c:v>
                </c:pt>
                <c:pt idx="2">
                  <c:v>135</c:v>
                </c:pt>
              </c:numCache>
            </c:numRef>
          </c:xVal>
          <c:yVal>
            <c:numRef>
              <c:f>'May 2023 Data'!$K$10:$K$12</c:f>
              <c:numCache>
                <c:formatCode>General</c:formatCode>
                <c:ptCount val="3"/>
                <c:pt idx="0">
                  <c:v>189</c:v>
                </c:pt>
                <c:pt idx="1">
                  <c:v>186</c:v>
                </c:pt>
                <c:pt idx="2">
                  <c:v>174</c:v>
                </c:pt>
              </c:numCache>
            </c:numRef>
          </c:yVal>
          <c:smooth val="0"/>
          <c:extLst>
            <c:ext xmlns:c15="http://schemas.microsoft.com/office/drawing/2012/chart" uri="{02D57815-91ED-43cb-92C2-25804820EDAC}">
              <c15:datalabelsRange>
                <c15:f>'May 2023 Data'!$A$10:$A$12</c15:f>
                <c15:dlblRangeCache>
                  <c:ptCount val="3"/>
                  <c:pt idx="0">
                    <c:v>Kotonowaka</c:v>
                  </c:pt>
                  <c:pt idx="1">
                    <c:v>Abi</c:v>
                  </c:pt>
                  <c:pt idx="2">
                    <c:v>Tobizaru</c:v>
                  </c:pt>
                </c15:dlblRangeCache>
              </c15:datalabelsRange>
            </c:ext>
            <c:ext xmlns:c16="http://schemas.microsoft.com/office/drawing/2014/chart" uri="{C3380CC4-5D6E-409C-BE32-E72D297353CC}">
              <c16:uniqueId val="{0000000C-6A53-4CC9-BC04-CCB30645214F}"/>
            </c:ext>
          </c:extLst>
        </c:ser>
        <c:ser>
          <c:idx val="4"/>
          <c:order val="4"/>
          <c:tx>
            <c:v>M01-04</c:v>
          </c:tx>
          <c:spPr>
            <a:ln w="25400" cap="rnd">
              <a:noFill/>
              <a:round/>
            </a:ln>
            <a:effectLst/>
          </c:spPr>
          <c:marker>
            <c:symbol val="circle"/>
            <c:size val="10"/>
            <c:spPr>
              <a:solidFill>
                <a:schemeClr val="accent1">
                  <a:alpha val="73000"/>
                </a:schemeClr>
              </a:solidFill>
              <a:ln w="9525">
                <a:solidFill>
                  <a:schemeClr val="tx1">
                    <a:lumMod val="50000"/>
                    <a:lumOff val="50000"/>
                  </a:schemeClr>
                </a:solidFill>
              </a:ln>
              <a:effectLst/>
            </c:spPr>
          </c:marker>
          <c:dLbls>
            <c:dLbl>
              <c:idx val="0"/>
              <c:tx>
                <c:rich>
                  <a:bodyPr/>
                  <a:lstStyle/>
                  <a:p>
                    <a:fld id="{D3A3781B-010E-4BB1-B565-FDF7C17176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53-4CC9-BC04-CCB30645214F}"/>
                </c:ext>
              </c:extLst>
            </c:dLbl>
            <c:dLbl>
              <c:idx val="1"/>
              <c:tx>
                <c:rich>
                  <a:bodyPr/>
                  <a:lstStyle/>
                  <a:p>
                    <a:fld id="{32EADE48-B8BF-46A6-942B-3BB8FFCF4A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A53-4CC9-BC04-CCB30645214F}"/>
                </c:ext>
              </c:extLst>
            </c:dLbl>
            <c:dLbl>
              <c:idx val="2"/>
              <c:tx>
                <c:rich>
                  <a:bodyPr/>
                  <a:lstStyle/>
                  <a:p>
                    <a:fld id="{EAEE84F8-1CC9-4A14-BBEF-1CBF52825C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A53-4CC9-BC04-CCB30645214F}"/>
                </c:ext>
              </c:extLst>
            </c:dLbl>
            <c:dLbl>
              <c:idx val="3"/>
              <c:tx>
                <c:rich>
                  <a:bodyPr/>
                  <a:lstStyle/>
                  <a:p>
                    <a:fld id="{92DE7A36-7E7B-46A0-AB01-DFCDE9C6E8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A53-4CC9-BC04-CCB30645214F}"/>
                </c:ext>
              </c:extLst>
            </c:dLbl>
            <c:dLbl>
              <c:idx val="4"/>
              <c:tx>
                <c:rich>
                  <a:bodyPr/>
                  <a:lstStyle/>
                  <a:p>
                    <a:fld id="{2DF5C6AC-8A70-4D8B-BF56-394D1069DF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A53-4CC9-BC04-CCB30645214F}"/>
                </c:ext>
              </c:extLst>
            </c:dLbl>
            <c:dLbl>
              <c:idx val="5"/>
              <c:tx>
                <c:rich>
                  <a:bodyPr/>
                  <a:lstStyle/>
                  <a:p>
                    <a:fld id="{387DF18D-8B26-41C4-9C84-76ECEE30C2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A53-4CC9-BC04-CCB30645214F}"/>
                </c:ext>
              </c:extLst>
            </c:dLbl>
            <c:dLbl>
              <c:idx val="6"/>
              <c:layout>
                <c:manualLayout>
                  <c:x val="-2.4931254289209247E-2"/>
                  <c:y val="2.8282828282828285E-2"/>
                </c:manualLayout>
              </c:layout>
              <c:tx>
                <c:rich>
                  <a:bodyPr/>
                  <a:lstStyle/>
                  <a:p>
                    <a:fld id="{90E4A3AD-A28F-490D-8F1B-F97B3D622B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6A53-4CC9-BC04-CCB30645214F}"/>
                </c:ext>
              </c:extLst>
            </c:dLbl>
            <c:dLbl>
              <c:idx val="7"/>
              <c:tx>
                <c:rich>
                  <a:bodyPr/>
                  <a:lstStyle/>
                  <a:p>
                    <a:fld id="{16002411-1D46-4800-BD82-45F5C11787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Data'!$L$13:$L$20</c:f>
              <c:numCache>
                <c:formatCode>General</c:formatCode>
                <c:ptCount val="8"/>
                <c:pt idx="0">
                  <c:v>180</c:v>
                </c:pt>
                <c:pt idx="1">
                  <c:v>161</c:v>
                </c:pt>
                <c:pt idx="2">
                  <c:v>170</c:v>
                </c:pt>
                <c:pt idx="3">
                  <c:v>116</c:v>
                </c:pt>
                <c:pt idx="4">
                  <c:v>154</c:v>
                </c:pt>
                <c:pt idx="5">
                  <c:v>143</c:v>
                </c:pt>
                <c:pt idx="6">
                  <c:v>168</c:v>
                </c:pt>
                <c:pt idx="7">
                  <c:v>165</c:v>
                </c:pt>
              </c:numCache>
            </c:numRef>
          </c:xVal>
          <c:yVal>
            <c:numRef>
              <c:f>'May 2023 Data'!$K$13:$K$20</c:f>
              <c:numCache>
                <c:formatCode>General</c:formatCode>
                <c:ptCount val="8"/>
                <c:pt idx="0">
                  <c:v>185</c:v>
                </c:pt>
                <c:pt idx="1">
                  <c:v>184</c:v>
                </c:pt>
                <c:pt idx="2">
                  <c:v>179</c:v>
                </c:pt>
                <c:pt idx="3">
                  <c:v>171</c:v>
                </c:pt>
                <c:pt idx="4">
                  <c:v>180</c:v>
                </c:pt>
                <c:pt idx="5">
                  <c:v>175</c:v>
                </c:pt>
                <c:pt idx="6">
                  <c:v>189</c:v>
                </c:pt>
                <c:pt idx="7">
                  <c:v>177</c:v>
                </c:pt>
              </c:numCache>
            </c:numRef>
          </c:yVal>
          <c:smooth val="0"/>
          <c:extLst>
            <c:ext xmlns:c15="http://schemas.microsoft.com/office/drawing/2012/chart" uri="{02D57815-91ED-43cb-92C2-25804820EDAC}">
              <c15:datalabelsRange>
                <c15:f>'May 2023 Data'!$A$37:$A$45</c15:f>
                <c15:dlblRangeCache>
                  <c:ptCount val="9"/>
                  <c:pt idx="0">
                    <c:v>Gonoyama</c:v>
                  </c:pt>
                  <c:pt idx="1">
                    <c:v>Daishoho</c:v>
                  </c:pt>
                  <c:pt idx="2">
                    <c:v>Shonannoumi</c:v>
                  </c:pt>
                  <c:pt idx="3">
                    <c:v>Ryuden</c:v>
                  </c:pt>
                  <c:pt idx="4">
                    <c:v>Takarafuji</c:v>
                  </c:pt>
                  <c:pt idx="5">
                    <c:v>Endo</c:v>
                  </c:pt>
                  <c:pt idx="6">
                    <c:v>Bushozan</c:v>
                  </c:pt>
                  <c:pt idx="7">
                    <c:v>Aoiyama</c:v>
                  </c:pt>
                  <c:pt idx="8">
                    <c:v>Hakuoho</c:v>
                  </c:pt>
                </c15:dlblRangeCache>
              </c15:datalabelsRange>
            </c:ext>
            <c:ext xmlns:c16="http://schemas.microsoft.com/office/drawing/2014/chart" uri="{C3380CC4-5D6E-409C-BE32-E72D297353CC}">
              <c16:uniqueId val="{00000015-6A53-4CC9-BC04-CCB30645214F}"/>
            </c:ext>
          </c:extLst>
        </c:ser>
        <c:ser>
          <c:idx val="5"/>
          <c:order val="5"/>
          <c:tx>
            <c:v>M05-08</c:v>
          </c:tx>
          <c:spPr>
            <a:ln w="25400" cap="rnd">
              <a:noFill/>
              <a:round/>
            </a:ln>
            <a:effectLst/>
          </c:spPr>
          <c:marker>
            <c:symbol val="circle"/>
            <c:size val="8"/>
            <c:spPr>
              <a:solidFill>
                <a:schemeClr val="accent2">
                  <a:alpha val="76000"/>
                </a:schemeClr>
              </a:solidFill>
              <a:ln w="9525">
                <a:solidFill>
                  <a:schemeClr val="tx1">
                    <a:lumMod val="50000"/>
                    <a:lumOff val="50000"/>
                  </a:schemeClr>
                </a:solidFill>
              </a:ln>
              <a:effectLst/>
            </c:spPr>
          </c:marker>
          <c:dLbls>
            <c:dLbl>
              <c:idx val="0"/>
              <c:tx>
                <c:rich>
                  <a:bodyPr/>
                  <a:lstStyle/>
                  <a:p>
                    <a:fld id="{90AEC962-C8E6-4805-84E4-44C7ADEF20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A53-4CC9-BC04-CCB30645214F}"/>
                </c:ext>
              </c:extLst>
            </c:dLbl>
            <c:dLbl>
              <c:idx val="1"/>
              <c:tx>
                <c:rich>
                  <a:bodyPr/>
                  <a:lstStyle/>
                  <a:p>
                    <a:fld id="{1059EA8B-2B7B-4FD2-B996-C23C4C2A12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A53-4CC9-BC04-CCB30645214F}"/>
                </c:ext>
              </c:extLst>
            </c:dLbl>
            <c:dLbl>
              <c:idx val="2"/>
              <c:tx>
                <c:rich>
                  <a:bodyPr/>
                  <a:lstStyle/>
                  <a:p>
                    <a:fld id="{498B2CB3-1085-42A3-9820-92E58D7862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A53-4CC9-BC04-CCB30645214F}"/>
                </c:ext>
              </c:extLst>
            </c:dLbl>
            <c:dLbl>
              <c:idx val="3"/>
              <c:tx>
                <c:rich>
                  <a:bodyPr/>
                  <a:lstStyle/>
                  <a:p>
                    <a:fld id="{C6825279-9408-4AE1-88D1-EBDD78CA20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A53-4CC9-BC04-CCB30645214F}"/>
                </c:ext>
              </c:extLst>
            </c:dLbl>
            <c:dLbl>
              <c:idx val="4"/>
              <c:layout>
                <c:manualLayout>
                  <c:x val="-2.9330887399069703E-3"/>
                  <c:y val="3.2323232323232323E-2"/>
                </c:manualLayout>
              </c:layout>
              <c:tx>
                <c:rich>
                  <a:bodyPr/>
                  <a:lstStyle/>
                  <a:p>
                    <a:fld id="{DD996DD1-C780-4B9D-A8D1-9F354075A0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6A53-4CC9-BC04-CCB30645214F}"/>
                </c:ext>
              </c:extLst>
            </c:dLbl>
            <c:dLbl>
              <c:idx val="5"/>
              <c:layout>
                <c:manualLayout>
                  <c:x val="-3.2263976138976622E-2"/>
                  <c:y val="2.2222222222222223E-2"/>
                </c:manualLayout>
              </c:layout>
              <c:tx>
                <c:rich>
                  <a:bodyPr/>
                  <a:lstStyle/>
                  <a:p>
                    <a:fld id="{FF255874-BCE3-4EF6-891F-2970A1DFC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6A53-4CC9-BC04-CCB30645214F}"/>
                </c:ext>
              </c:extLst>
            </c:dLbl>
            <c:dLbl>
              <c:idx val="6"/>
              <c:tx>
                <c:rich>
                  <a:bodyPr/>
                  <a:lstStyle/>
                  <a:p>
                    <a:fld id="{3203C4F0-CA95-4D54-B988-816EB231F5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A53-4CC9-BC04-CCB30645214F}"/>
                </c:ext>
              </c:extLst>
            </c:dLbl>
            <c:dLbl>
              <c:idx val="7"/>
              <c:layout>
                <c:manualLayout>
                  <c:x val="-2.9330887399069756E-2"/>
                  <c:y val="2.8282828282828135E-2"/>
                </c:manualLayout>
              </c:layout>
              <c:tx>
                <c:rich>
                  <a:bodyPr/>
                  <a:lstStyle/>
                  <a:p>
                    <a:fld id="{8D893CBC-7D58-4F60-8F0B-7E2F2CA270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Data'!$L$21:$L$28</c:f>
              <c:numCache>
                <c:formatCode>General</c:formatCode>
                <c:ptCount val="8"/>
                <c:pt idx="0">
                  <c:v>135</c:v>
                </c:pt>
                <c:pt idx="1">
                  <c:v>185</c:v>
                </c:pt>
                <c:pt idx="2">
                  <c:v>179</c:v>
                </c:pt>
                <c:pt idx="3">
                  <c:v>183</c:v>
                </c:pt>
                <c:pt idx="4">
                  <c:v>174</c:v>
                </c:pt>
                <c:pt idx="5">
                  <c:v>149</c:v>
                </c:pt>
                <c:pt idx="6">
                  <c:v>142</c:v>
                </c:pt>
                <c:pt idx="7">
                  <c:v>158</c:v>
                </c:pt>
              </c:numCache>
            </c:numRef>
          </c:xVal>
          <c:yVal>
            <c:numRef>
              <c:f>'May 2023 Data'!$K$21:$K$28</c:f>
              <c:numCache>
                <c:formatCode>General</c:formatCode>
                <c:ptCount val="8"/>
                <c:pt idx="0">
                  <c:v>177</c:v>
                </c:pt>
                <c:pt idx="1">
                  <c:v>204</c:v>
                </c:pt>
                <c:pt idx="2">
                  <c:v>190</c:v>
                </c:pt>
                <c:pt idx="3">
                  <c:v>188</c:v>
                </c:pt>
                <c:pt idx="4">
                  <c:v>189</c:v>
                </c:pt>
                <c:pt idx="5">
                  <c:v>184</c:v>
                </c:pt>
                <c:pt idx="6">
                  <c:v>182</c:v>
                </c:pt>
                <c:pt idx="7">
                  <c:v>184</c:v>
                </c:pt>
              </c:numCache>
            </c:numRef>
          </c:yVal>
          <c:smooth val="0"/>
          <c:extLst>
            <c:ext xmlns:c15="http://schemas.microsoft.com/office/drawing/2012/chart" uri="{02D57815-91ED-43cb-92C2-25804820EDAC}">
              <c15:datalabelsRange>
                <c15:f>'May 2023 Data'!$A$13:$A$20</c15:f>
                <c15:dlblRangeCache>
                  <c:ptCount val="8"/>
                  <c:pt idx="0">
                    <c:v>Nishikigi</c:v>
                  </c:pt>
                  <c:pt idx="1">
                    <c:v>Shodai</c:v>
                  </c:pt>
                  <c:pt idx="2">
                    <c:v>Mitakeumi</c:v>
                  </c:pt>
                  <c:pt idx="3">
                    <c:v>Midorifuji</c:v>
                  </c:pt>
                  <c:pt idx="4">
                    <c:v>Meisei</c:v>
                  </c:pt>
                  <c:pt idx="5">
                    <c:v>Ura</c:v>
                  </c:pt>
                  <c:pt idx="6">
                    <c:v>Asanoyama</c:v>
                  </c:pt>
                  <c:pt idx="7">
                    <c:v>Onosho</c:v>
                  </c:pt>
                </c15:dlblRangeCache>
              </c15:datalabelsRange>
            </c:ext>
            <c:ext xmlns:c16="http://schemas.microsoft.com/office/drawing/2014/chart" uri="{C3380CC4-5D6E-409C-BE32-E72D297353CC}">
              <c16:uniqueId val="{0000001E-6A53-4CC9-BC04-CCB30645214F}"/>
            </c:ext>
          </c:extLst>
        </c:ser>
        <c:ser>
          <c:idx val="6"/>
          <c:order val="6"/>
          <c:tx>
            <c:v>M09-12</c:v>
          </c:tx>
          <c:spPr>
            <a:ln w="25400" cap="rnd">
              <a:noFill/>
              <a:round/>
            </a:ln>
            <a:effectLst/>
          </c:spPr>
          <c:marker>
            <c:symbol val="circle"/>
            <c:size val="6"/>
            <c:spPr>
              <a:solidFill>
                <a:schemeClr val="accent3">
                  <a:alpha val="57000"/>
                </a:schemeClr>
              </a:solidFill>
              <a:ln w="9525">
                <a:solidFill>
                  <a:schemeClr val="bg2">
                    <a:lumMod val="75000"/>
                  </a:schemeClr>
                </a:solidFill>
              </a:ln>
              <a:effectLst/>
            </c:spPr>
          </c:marker>
          <c:dLbls>
            <c:dLbl>
              <c:idx val="0"/>
              <c:tx>
                <c:rich>
                  <a:bodyPr/>
                  <a:lstStyle/>
                  <a:p>
                    <a:fld id="{E6786974-B86E-44C1-9CEA-B65B60818B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A53-4CC9-BC04-CCB30645214F}"/>
                </c:ext>
              </c:extLst>
            </c:dLbl>
            <c:dLbl>
              <c:idx val="1"/>
              <c:tx>
                <c:rich>
                  <a:bodyPr/>
                  <a:lstStyle/>
                  <a:p>
                    <a:fld id="{73568C5F-5C51-4F2F-B5E3-7047131D33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A53-4CC9-BC04-CCB30645214F}"/>
                </c:ext>
              </c:extLst>
            </c:dLbl>
            <c:dLbl>
              <c:idx val="2"/>
              <c:tx>
                <c:rich>
                  <a:bodyPr/>
                  <a:lstStyle/>
                  <a:p>
                    <a:fld id="{D5CF6911-A352-4B6F-8449-0E89608EFC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A53-4CC9-BC04-CCB30645214F}"/>
                </c:ext>
              </c:extLst>
            </c:dLbl>
            <c:dLbl>
              <c:idx val="3"/>
              <c:tx>
                <c:rich>
                  <a:bodyPr/>
                  <a:lstStyle/>
                  <a:p>
                    <a:fld id="{D65B45F4-B766-4C26-BAAD-32D6355B0D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A53-4CC9-BC04-CCB30645214F}"/>
                </c:ext>
              </c:extLst>
            </c:dLbl>
            <c:dLbl>
              <c:idx val="4"/>
              <c:layout>
                <c:manualLayout>
                  <c:x val="-1.4665443699534852E-2"/>
                  <c:y val="-3.6363636363636292E-2"/>
                </c:manualLayout>
              </c:layout>
              <c:tx>
                <c:rich>
                  <a:bodyPr/>
                  <a:lstStyle/>
                  <a:p>
                    <a:fld id="{B7275D46-2C13-4319-AE3B-8CAA6A1AF8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A53-4CC9-BC04-CCB30645214F}"/>
                </c:ext>
              </c:extLst>
            </c:dLbl>
            <c:dLbl>
              <c:idx val="5"/>
              <c:tx>
                <c:rich>
                  <a:bodyPr/>
                  <a:lstStyle/>
                  <a:p>
                    <a:fld id="{60DB492B-E783-4F03-B435-CB5F845308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A53-4CC9-BC04-CCB30645214F}"/>
                </c:ext>
              </c:extLst>
            </c:dLbl>
            <c:dLbl>
              <c:idx val="6"/>
              <c:tx>
                <c:rich>
                  <a:bodyPr/>
                  <a:lstStyle/>
                  <a:p>
                    <a:fld id="{64FA4DCC-1790-49F7-B0CF-109F7ACAA0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A53-4CC9-BC04-CCB30645214F}"/>
                </c:ext>
              </c:extLst>
            </c:dLbl>
            <c:dLbl>
              <c:idx val="7"/>
              <c:tx>
                <c:rich>
                  <a:bodyPr/>
                  <a:lstStyle/>
                  <a:p>
                    <a:fld id="{2BCBF210-03D6-4E3D-9422-01E55C663A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Data'!$L$29:$L$36</c:f>
              <c:numCache>
                <c:formatCode>General</c:formatCode>
                <c:ptCount val="8"/>
                <c:pt idx="0">
                  <c:v>170</c:v>
                </c:pt>
                <c:pt idx="1">
                  <c:v>181</c:v>
                </c:pt>
                <c:pt idx="2">
                  <c:v>156</c:v>
                </c:pt>
                <c:pt idx="3">
                  <c:v>133</c:v>
                </c:pt>
                <c:pt idx="4">
                  <c:v>194</c:v>
                </c:pt>
                <c:pt idx="5">
                  <c:v>132</c:v>
                </c:pt>
                <c:pt idx="6">
                  <c:v>137</c:v>
                </c:pt>
                <c:pt idx="7">
                  <c:v>161</c:v>
                </c:pt>
              </c:numCache>
            </c:numRef>
          </c:xVal>
          <c:yVal>
            <c:numRef>
              <c:f>'May 2023 Data'!$K$29:$K$36</c:f>
              <c:numCache>
                <c:formatCode>General</c:formatCode>
                <c:ptCount val="8"/>
                <c:pt idx="0">
                  <c:v>183</c:v>
                </c:pt>
                <c:pt idx="1">
                  <c:v>192</c:v>
                </c:pt>
                <c:pt idx="2">
                  <c:v>188</c:v>
                </c:pt>
                <c:pt idx="3">
                  <c:v>176</c:v>
                </c:pt>
                <c:pt idx="4">
                  <c:v>185</c:v>
                </c:pt>
                <c:pt idx="5">
                  <c:v>182</c:v>
                </c:pt>
                <c:pt idx="6">
                  <c:v>184</c:v>
                </c:pt>
                <c:pt idx="7">
                  <c:v>191</c:v>
                </c:pt>
              </c:numCache>
            </c:numRef>
          </c:yVal>
          <c:smooth val="0"/>
          <c:extLst>
            <c:ext xmlns:c15="http://schemas.microsoft.com/office/drawing/2012/chart" uri="{02D57815-91ED-43cb-92C2-25804820EDAC}">
              <c15:datalabelsRange>
                <c15:f>'May 2023 Data'!$A$37:$A$45</c15:f>
                <c15:dlblRangeCache>
                  <c:ptCount val="9"/>
                  <c:pt idx="0">
                    <c:v>Gonoyama</c:v>
                  </c:pt>
                  <c:pt idx="1">
                    <c:v>Daishoho</c:v>
                  </c:pt>
                  <c:pt idx="2">
                    <c:v>Shonannoumi</c:v>
                  </c:pt>
                  <c:pt idx="3">
                    <c:v>Ryuden</c:v>
                  </c:pt>
                  <c:pt idx="4">
                    <c:v>Takarafuji</c:v>
                  </c:pt>
                  <c:pt idx="5">
                    <c:v>Endo</c:v>
                  </c:pt>
                  <c:pt idx="6">
                    <c:v>Bushozan</c:v>
                  </c:pt>
                  <c:pt idx="7">
                    <c:v>Aoiyama</c:v>
                  </c:pt>
                  <c:pt idx="8">
                    <c:v>Hakuoho</c:v>
                  </c:pt>
                </c15:dlblRangeCache>
              </c15:datalabelsRange>
            </c:ext>
            <c:ext xmlns:c16="http://schemas.microsoft.com/office/drawing/2014/chart" uri="{C3380CC4-5D6E-409C-BE32-E72D297353CC}">
              <c16:uniqueId val="{00000027-6A53-4CC9-BC04-CCB30645214F}"/>
            </c:ext>
          </c:extLst>
        </c:ser>
        <c:ser>
          <c:idx val="7"/>
          <c:order val="7"/>
          <c:tx>
            <c:v>M13-17</c:v>
          </c:tx>
          <c:spPr>
            <a:ln w="25400" cap="rnd">
              <a:noFill/>
              <a:round/>
            </a:ln>
            <a:effectLst/>
          </c:spPr>
          <c:marker>
            <c:symbol val="circle"/>
            <c:size val="6"/>
            <c:spPr>
              <a:solidFill>
                <a:schemeClr val="accent4">
                  <a:alpha val="48000"/>
                </a:schemeClr>
              </a:solidFill>
              <a:ln w="9525">
                <a:solidFill>
                  <a:schemeClr val="bg2">
                    <a:lumMod val="75000"/>
                  </a:schemeClr>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A53-4CC9-BC04-CCB30645214F}"/>
                </c:ext>
              </c:extLst>
            </c:dLbl>
            <c:dLbl>
              <c:idx val="1"/>
              <c:tx>
                <c:rich>
                  <a:bodyPr/>
                  <a:lstStyle/>
                  <a:p>
                    <a:fld id="{E0C0E6FF-F834-476C-8A0C-336B4A5D1B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6A53-4CC9-BC04-CCB30645214F}"/>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A53-4CC9-BC04-CCB30645214F}"/>
                </c:ext>
              </c:extLst>
            </c:dLbl>
            <c:dLbl>
              <c:idx val="3"/>
              <c:layout>
                <c:manualLayout>
                  <c:x val="-4.252978672865107E-2"/>
                  <c:y val="-2.4242424242424242E-2"/>
                </c:manualLayout>
              </c:layout>
              <c:tx>
                <c:rich>
                  <a:bodyPr/>
                  <a:lstStyle/>
                  <a:p>
                    <a:fld id="{F3CB17A9-7DF9-4266-A161-651755CCE1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B-6A53-4CC9-BC04-CCB30645214F}"/>
                </c:ext>
              </c:extLst>
            </c:dLbl>
            <c:dLbl>
              <c:idx val="4"/>
              <c:tx>
                <c:rich>
                  <a:bodyPr/>
                  <a:lstStyle/>
                  <a:p>
                    <a:fld id="{2E379B51-3B95-4187-9B2F-1C76F35067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6A53-4CC9-BC04-CCB30645214F}"/>
                </c:ext>
              </c:extLst>
            </c:dLbl>
            <c:dLbl>
              <c:idx val="5"/>
              <c:tx>
                <c:rich>
                  <a:bodyPr/>
                  <a:lstStyle/>
                  <a:p>
                    <a:fld id="{56070392-A7DB-4DD7-93D2-D0C7684143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6A53-4CC9-BC04-CCB30645214F}"/>
                </c:ext>
              </c:extLst>
            </c:dLbl>
            <c:dLbl>
              <c:idx val="6"/>
              <c:tx>
                <c:rich>
                  <a:bodyPr/>
                  <a:lstStyle/>
                  <a:p>
                    <a:fld id="{D1C8CFF9-E287-409B-9665-F9CF2996A0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6A53-4CC9-BC04-CCB30645214F}"/>
                </c:ext>
              </c:extLst>
            </c:dLbl>
            <c:dLbl>
              <c:idx val="7"/>
              <c:tx>
                <c:rich>
                  <a:bodyPr/>
                  <a:lstStyle/>
                  <a:p>
                    <a:fld id="{F941B89F-B9EC-4558-9220-BDA033884C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6A53-4CC9-BC04-CCB30645214F}"/>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A53-4CC9-BC04-CCB3064521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'May 2023 Data'!$L$37:$L$45</c:f>
              <c:numCache>
                <c:formatCode>General</c:formatCode>
                <c:ptCount val="9"/>
                <c:pt idx="1">
                  <c:v>196</c:v>
                </c:pt>
                <c:pt idx="3">
                  <c:v>155</c:v>
                </c:pt>
                <c:pt idx="4">
                  <c:v>171</c:v>
                </c:pt>
                <c:pt idx="5">
                  <c:v>150</c:v>
                </c:pt>
                <c:pt idx="6">
                  <c:v>171</c:v>
                </c:pt>
                <c:pt idx="7">
                  <c:v>186</c:v>
                </c:pt>
              </c:numCache>
            </c:numRef>
          </c:xVal>
          <c:yVal>
            <c:numRef>
              <c:f>'May 2023 Data'!$K$37:$K$45</c:f>
              <c:numCache>
                <c:formatCode>General</c:formatCode>
                <c:ptCount val="9"/>
                <c:pt idx="1">
                  <c:v>185</c:v>
                </c:pt>
                <c:pt idx="3">
                  <c:v>188</c:v>
                </c:pt>
                <c:pt idx="4">
                  <c:v>186</c:v>
                </c:pt>
                <c:pt idx="5">
                  <c:v>184</c:v>
                </c:pt>
                <c:pt idx="6">
                  <c:v>171</c:v>
                </c:pt>
                <c:pt idx="7">
                  <c:v>191</c:v>
                </c:pt>
              </c:numCache>
            </c:numRef>
          </c:yVal>
          <c:smooth val="0"/>
          <c:extLst>
            <c:ext xmlns:c15="http://schemas.microsoft.com/office/drawing/2012/chart" uri="{02D57815-91ED-43cb-92C2-25804820EDAC}">
              <c15:datalabelsRange>
                <c15:f>'May 2023 Data'!$A$29:$A$36</c15:f>
                <c15:dlblRangeCache>
                  <c:ptCount val="8"/>
                  <c:pt idx="0">
                    <c:v>Takanosho</c:v>
                  </c:pt>
                  <c:pt idx="1">
                    <c:v>Kinbozan</c:v>
                  </c:pt>
                  <c:pt idx="2">
                    <c:v>Myogiryu</c:v>
                  </c:pt>
                  <c:pt idx="3">
                    <c:v>Kotoeko</c:v>
                  </c:pt>
                  <c:pt idx="4">
                    <c:v>Tsurugisho</c:v>
                  </c:pt>
                  <c:pt idx="5">
                    <c:v>Wakatakakage</c:v>
                  </c:pt>
                  <c:pt idx="6">
                    <c:v>Chiyoshoma</c:v>
                  </c:pt>
                  <c:pt idx="7">
                    <c:v>Kotoshoho</c:v>
                  </c:pt>
                </c15:dlblRangeCache>
              </c15:datalabelsRange>
            </c:ext>
            <c:ext xmlns:c16="http://schemas.microsoft.com/office/drawing/2014/chart" uri="{C3380CC4-5D6E-409C-BE32-E72D297353CC}">
              <c16:uniqueId val="{00000031-6A53-4CC9-BC04-CCB30645214F}"/>
            </c:ext>
          </c:extLst>
        </c:ser>
        <c:dLbls>
          <c:showLegendKey val="0"/>
          <c:showVal val="0"/>
          <c:showCatName val="0"/>
          <c:showSerName val="0"/>
          <c:showPercent val="0"/>
          <c:showBubbleSize val="0"/>
        </c:dLbls>
        <c:axId val="745971600"/>
        <c:axId val="745971928"/>
      </c:scatterChart>
      <c:valAx>
        <c:axId val="745971600"/>
        <c:scaling>
          <c:orientation val="minMax"/>
          <c:max val="205"/>
          <c:min val="11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in Kilograms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928"/>
        <c:crosses val="autoZero"/>
        <c:crossBetween val="midCat"/>
      </c:valAx>
      <c:valAx>
        <c:axId val="745971928"/>
        <c:scaling>
          <c:orientation val="minMax"/>
          <c:min val="16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Height in Centimeters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971600"/>
        <c:crosses val="autoZero"/>
        <c:crossBetween val="midCat"/>
      </c:valAx>
      <c:spPr>
        <a:noFill/>
        <a:ln w="25400">
          <a:noFill/>
        </a:ln>
        <a:effectLst/>
      </c:spPr>
    </c:plotArea>
    <c:legend>
      <c:legendPos val="r"/>
      <c:layout>
        <c:manualLayout>
          <c:xMode val="edge"/>
          <c:yMode val="edge"/>
          <c:x val="0.89117189153117138"/>
          <c:y val="7.4546352327688234E-2"/>
          <c:w val="0.10003648178944907"/>
          <c:h val="0.66807527263995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_xlchart.v1.0</cx:f>
      </cx:numDim>
    </cx:data>
  </cx:chartData>
  <cx:chart>
    <cx:title pos="t" align="ctr" overlay="0">
      <cx:tx>
        <cx:txData>
          <cx:v>BMI histogram for November 2022 Makuuchi wrestlers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BMI histogram for November 2022 Makuuchi wrestlers</a:t>
          </a:r>
        </a:p>
      </cx:txPr>
    </cx:title>
    <cx:plotArea>
      <cx:plotAreaRegion>
        <cx:series layoutId="clusteredColumn" uniqueId="{D5E39805-BBFC-46AF-B444-6C874E1021C3}">
          <cx:tx>
            <cx:txData>
              <cx:f/>
              <cx:v>BMI Nov 2022</cx:v>
            </cx:txData>
          </cx:tx>
          <cx:spPr>
            <a:solidFill>
              <a:schemeClr val="accent3"/>
            </a:solidFill>
          </cx:spPr>
          <cx:dataId val="0"/>
          <cx:layoutPr>
            <cx:binning intervalClosed="r">
              <cx:binCount val="7"/>
            </cx:binning>
          </cx:layoutPr>
        </cx:series>
      </cx:plotAreaRegion>
      <cx:axis id="0">
        <cx:catScaling gapWidth="0"/>
        <cx:tickLabels/>
      </cx:axis>
      <cx:axis id="1">
        <cx:valScaling/>
        <cx:majorGridlines/>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E42FEC0-3E2D-4A29-BF38-A8200563758D}">
  <sheetPr codeName="Chart2"/>
  <sheetViews>
    <sheetView zoomScale="89"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16E0341-649D-40C2-90A4-9EFFB96E8097}">
  <sheetPr/>
  <sheetViews>
    <sheetView zoomScale="160"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CA0938D-51B9-4561-8226-C1DF169906FE}">
  <sheetPr/>
  <sheetViews>
    <sheetView zoomScale="160"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7450F58-8AF0-4817-A914-1D3D4A826EEB}">
  <sheetPr/>
  <sheetViews>
    <sheetView zoomScale="160" workbookViewId="0"/>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3791052-9909-4553-9940-952302C699F8}">
  <sheetPr codeName="Chart4"/>
  <sheetViews>
    <sheetView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1B654C2-32DF-4F77-9C25-3E164D5340C2}">
  <sheetPr/>
  <sheetViews>
    <sheetView zoomScale="256"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95E9E0-4212-4868-B47E-DD306169A284}">
  <sheetPr/>
  <sheetViews>
    <sheetView zoomScale="16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BD928AD-D73F-45DE-991C-8FC90B47CE90}">
  <sheetPr/>
  <sheetViews>
    <sheetView zoomScale="16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F02AC23-5909-466A-8907-5EEA43C07256}">
  <sheetPr/>
  <sheetViews>
    <sheetView zoomScale="16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5EEBFAF-6685-4F3B-847F-7BD19369A0CD}">
  <sheetPr/>
  <sheetViews>
    <sheetView zoomScale="114"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7A3264C-9058-4280-A1CD-207014CC0443}">
  <sheetPr/>
  <sheetViews>
    <sheetView zoomScale="85"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5D75502-0363-4757-B294-9A2D7B3EFB5E}">
  <sheetPr/>
  <sheetViews>
    <sheetView zoomScale="16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microsoft.com/office/2014/relationships/chartEx" Target="../charts/chartEx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8656972" cy="6285917"/>
    <xdr:graphicFrame macro="">
      <xdr:nvGraphicFramePr>
        <xdr:cNvPr id="2" name="Chart 1">
          <a:extLst>
            <a:ext uri="{FF2B5EF4-FFF2-40B4-BE49-F238E27FC236}">
              <a16:creationId xmlns:a16="http://schemas.microsoft.com/office/drawing/2014/main" id="{E02F1B1A-3750-48D1-AB4F-E80B7DBF50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517493</xdr:colOff>
      <xdr:row>86</xdr:row>
      <xdr:rowOff>180974</xdr:rowOff>
    </xdr:to>
    <xdr:pic>
      <xdr:nvPicPr>
        <xdr:cNvPr id="2" name="Picture 1">
          <a:extLst>
            <a:ext uri="{FF2B5EF4-FFF2-40B4-BE49-F238E27FC236}">
              <a16:creationId xmlns:a16="http://schemas.microsoft.com/office/drawing/2014/main" id="{D0001326-3FCB-4489-83CB-2AFA428FF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596193" cy="1574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6F66203E-4669-C2E9-691C-750CDDBE1C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14EAFF55-565C-5EB2-AA57-81AA947792E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47DE1FBF-B01A-14E2-9806-CF40AF26BA1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83CC0086-0D32-72E9-F2A6-257FFA9595A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oneCellAnchor>
    <xdr:from>
      <xdr:col>0</xdr:col>
      <xdr:colOff>0</xdr:colOff>
      <xdr:row>15</xdr:row>
      <xdr:rowOff>0</xdr:rowOff>
    </xdr:from>
    <xdr:ext cx="5580990" cy="3619024"/>
    <xdr:pic>
      <xdr:nvPicPr>
        <xdr:cNvPr id="2" name="Picture 1">
          <a:extLst>
            <a:ext uri="{FF2B5EF4-FFF2-40B4-BE49-F238E27FC236}">
              <a16:creationId xmlns:a16="http://schemas.microsoft.com/office/drawing/2014/main" id="{8C7AE8E5-D180-4DE5-8DCF-2FA01081E381}"/>
            </a:ext>
          </a:extLst>
        </xdr:cNvPr>
        <xdr:cNvPicPr>
          <a:picLocks noChangeAspect="1"/>
        </xdr:cNvPicPr>
      </xdr:nvPicPr>
      <xdr:blipFill>
        <a:blip xmlns:r="http://schemas.openxmlformats.org/officeDocument/2006/relationships" r:embed="rId1"/>
        <a:stretch>
          <a:fillRect/>
        </a:stretch>
      </xdr:blipFill>
      <xdr:spPr>
        <a:xfrm>
          <a:off x="0" y="1085850"/>
          <a:ext cx="5580990" cy="3619024"/>
        </a:xfrm>
        <a:prstGeom prst="rect">
          <a:avLst/>
        </a:prstGeom>
      </xdr:spPr>
    </xdr:pic>
    <xdr:clientData/>
  </xdr:oneCellAnchor>
  <xdr:twoCellAnchor editAs="oneCell">
    <xdr:from>
      <xdr:col>0</xdr:col>
      <xdr:colOff>304800</xdr:colOff>
      <xdr:row>40</xdr:row>
      <xdr:rowOff>127000</xdr:rowOff>
    </xdr:from>
    <xdr:to>
      <xdr:col>4</xdr:col>
      <xdr:colOff>2708275</xdr:colOff>
      <xdr:row>134</xdr:row>
      <xdr:rowOff>171450</xdr:rowOff>
    </xdr:to>
    <xdr:pic>
      <xdr:nvPicPr>
        <xdr:cNvPr id="3" name="Picture 2">
          <a:extLst>
            <a:ext uri="{FF2B5EF4-FFF2-40B4-BE49-F238E27FC236}">
              <a16:creationId xmlns:a16="http://schemas.microsoft.com/office/drawing/2014/main" id="{72607EB6-FF1D-3759-19E3-4B1400A39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7759700"/>
          <a:ext cx="8677275" cy="1735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1400" cy="6273800"/>
    <mc:AlternateContent xmlns:mc="http://schemas.openxmlformats.org/markup-compatibility/2006">
      <mc:Choice xmlns:cx1="http://schemas.microsoft.com/office/drawing/2015/9/8/chartex" Requires="cx1">
        <xdr:graphicFrame macro="">
          <xdr:nvGraphicFramePr>
            <xdr:cNvPr id="2" name="Chart 1">
              <a:extLst>
                <a:ext uri="{FF2B5EF4-FFF2-40B4-BE49-F238E27FC236}">
                  <a16:creationId xmlns:a16="http://schemas.microsoft.com/office/drawing/2014/main" id="{23F8C355-9F3E-493E-B480-49E2B165D8E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graphicFrame macro="">
          <xdr:nvGraphicFramePr>
            <xdr:cNvPr id="0" nam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mc:Fallback>
    </mc:AlternateContent>
    <xdr:clientData/>
  </xdr:absolute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sp macro="" textlink="">
      <cdr:nvSpPr>
        <cdr:cNvPr id="2" name="Rectangle 1">
          <a:extLst xmlns:a="http://schemas.openxmlformats.org/drawingml/2006/main">
            <a:ext uri="{FF2B5EF4-FFF2-40B4-BE49-F238E27FC236}">
              <a16:creationId xmlns:a16="http://schemas.microsoft.com/office/drawing/2014/main" id="{D37C8D90-D44A-9FF9-22DC-07FB3B2A940D}"/>
            </a:ext>
          </a:extLst>
        </cdr:cNvPr>
        <cdr:cNvSpPr>
          <a:spLocks xmlns:a="http://schemas.openxmlformats.org/drawingml/2006/main" noTextEdit="1"/>
        </cdr:cNvSpPr>
      </cdr:nvSpPr>
      <cdr:spPr>
        <a:xfrm xmlns:a="http://schemas.openxmlformats.org/drawingml/2006/main">
          <a:off x="0" y="0"/>
          <a:ext cx="8661400" cy="6273800"/>
        </a:xfrm>
        <a:prstGeom xmlns:a="http://schemas.openxmlformats.org/drawingml/2006/main" prst="rect">
          <a:avLst/>
        </a:prstGeom>
        <a:solidFill xmlns:a="http://schemas.openxmlformats.org/drawingml/2006/main">
          <a:prstClr val="white"/>
        </a:solidFill>
        <a:ln xmlns:a="http://schemas.openxmlformats.org/drawingml/2006/main" w="1">
          <a:solidFill>
            <a:prstClr val="green"/>
          </a:solidFill>
        </a:ln>
      </cdr:spPr>
      <cdr:txBody>
        <a:bodyPr xmlns:a="http://schemas.openxmlformats.org/drawingml/2006/main" vertOverflow="clip" horzOverflow="clip"/>
        <a:lstStyle xmlns:a="http://schemas.openxmlformats.org/drawingml/2006/main"/>
        <a:p xmlns:a="http://schemas.openxmlformats.org/drawingml/2006/main">
          <a:r>
            <a:rPr lang="en-US" sz="1100"/>
            <a:t>This chart isn't available in your version of Excel.
Editing this shape or saving this workbook into a different file format will permanently break the chart.</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DC3183-B213-D4F6-BA21-57A94376297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9813" cy="6270625"/>
    <xdr:graphicFrame macro="">
      <xdr:nvGraphicFramePr>
        <xdr:cNvPr id="2" name="Chart 1">
          <a:extLst>
            <a:ext uri="{FF2B5EF4-FFF2-40B4-BE49-F238E27FC236}">
              <a16:creationId xmlns:a16="http://schemas.microsoft.com/office/drawing/2014/main" id="{0FDE4DD9-93E9-AC6B-520C-92191E3BAA6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64277" cy="6287988"/>
    <xdr:graphicFrame macro="">
      <xdr:nvGraphicFramePr>
        <xdr:cNvPr id="2" name="Chart 1">
          <a:extLst>
            <a:ext uri="{FF2B5EF4-FFF2-40B4-BE49-F238E27FC236}">
              <a16:creationId xmlns:a16="http://schemas.microsoft.com/office/drawing/2014/main" id="{353E1DF6-78C7-8C55-70F7-4B8A36BBCE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E9B09C3F-DFBD-931C-10F7-AFDE98BA4C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4408" cy="6291513"/>
    <xdr:graphicFrame macro="">
      <xdr:nvGraphicFramePr>
        <xdr:cNvPr id="2" name="Chart 1">
          <a:extLst>
            <a:ext uri="{FF2B5EF4-FFF2-40B4-BE49-F238E27FC236}">
              <a16:creationId xmlns:a16="http://schemas.microsoft.com/office/drawing/2014/main" id="{4E63EC65-EF68-A89E-7B73-4D6B6DE9A17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9813" cy="6286500"/>
    <xdr:graphicFrame macro="">
      <xdr:nvGraphicFramePr>
        <xdr:cNvPr id="2" name="Chart 1">
          <a:extLst>
            <a:ext uri="{FF2B5EF4-FFF2-40B4-BE49-F238E27FC236}">
              <a16:creationId xmlns:a16="http://schemas.microsoft.com/office/drawing/2014/main" id="{F8589C4C-F353-0312-184B-E79662E069B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2MPCL\AppData\Roaming\Microsoft\AddIns\XRealStats.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
      <sheetName val="Wilcoxon Table"/>
      <sheetName val="Mann Table"/>
      <sheetName val="Runs Table"/>
      <sheetName val="KS Table"/>
      <sheetName val="KS2 Table"/>
      <sheetName val="Lil Table"/>
      <sheetName val="AD Table"/>
      <sheetName val="AD2 Table"/>
      <sheetName val="SW Table"/>
      <sheetName val="Stud. Q Table"/>
      <sheetName val="Stud. Q Table 2"/>
      <sheetName val="Sp Rho Table"/>
      <sheetName val="Ken Tau Table"/>
      <sheetName val="Durbin Table"/>
      <sheetName val="Dunnett Table"/>
      <sheetName val="Dunnett 1"/>
      <sheetName val="Prime"/>
      <sheetName val="MSSD"/>
      <sheetName val="XRealStats"/>
    </sheetNames>
    <definedNames>
      <definedName name="CLUST_Converge"/>
      <definedName name="ClustAnal"/>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theme/theme1.xml><?xml version="1.0" encoding="utf-8"?>
<a:theme xmlns:a="http://schemas.openxmlformats.org/drawingml/2006/main" name="Hokusai3 Theme">
  <a:themeElements>
    <a:clrScheme name="Hokusai3 Palette">
      <a:dk1>
        <a:sysClr val="windowText" lastClr="000000"/>
      </a:dk1>
      <a:lt1>
        <a:sysClr val="window" lastClr="FFFFFF"/>
      </a:lt1>
      <a:dk2>
        <a:srgbClr val="44546A"/>
      </a:dk2>
      <a:lt2>
        <a:srgbClr val="E7E6E6"/>
      </a:lt2>
      <a:accent1>
        <a:srgbClr val="D9DA68"/>
      </a:accent1>
      <a:accent2>
        <a:srgbClr val="85C661"/>
      </a:accent2>
      <a:accent3>
        <a:srgbClr val="4DCCC4"/>
      </a:accent3>
      <a:accent4>
        <a:srgbClr val="4497C6"/>
      </a:accent4>
      <a:accent5>
        <a:srgbClr val="125086"/>
      </a:accent5>
      <a:accent6>
        <a:srgbClr val="002B58"/>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sumo.or.jp/EnHonbashoBanzuke/index/" TargetMode="External"/><Relationship Id="rId1" Type="http://schemas.openxmlformats.org/officeDocument/2006/relationships/hyperlink" Target="https://www.sumo.or.jp/EnHonbashoBanzuke/index/"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sumo.or.jp/EnHonbashoBanzuke/index/" TargetMode="External"/><Relationship Id="rId1" Type="http://schemas.openxmlformats.org/officeDocument/2006/relationships/hyperlink" Target="https://www.sumo.or.jp/EnHonbashoBanzuke/index/" TargetMode="Externa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5.xml"/><Relationship Id="rId3" Type="http://schemas.openxmlformats.org/officeDocument/2006/relationships/hyperlink" Target="https://www.sumo.or.jp/EnHonbashoBanzuke/index/" TargetMode="External"/><Relationship Id="rId7" Type="http://schemas.openxmlformats.org/officeDocument/2006/relationships/printerSettings" Target="../printerSettings/printerSettings10.bin"/><Relationship Id="rId2" Type="http://schemas.openxmlformats.org/officeDocument/2006/relationships/hyperlink" Target="https://www.sumo.or.jp/EnHonbashoBanzuke/index/" TargetMode="External"/><Relationship Id="rId1" Type="http://schemas.openxmlformats.org/officeDocument/2006/relationships/hyperlink" Target="https://twitter.com/SumoFollower/status/1518933651962138624" TargetMode="External"/><Relationship Id="rId6" Type="http://schemas.openxmlformats.org/officeDocument/2006/relationships/hyperlink" Target="https://www.sumo.or.jp/EnHonbashoBanzuke/index/" TargetMode="External"/><Relationship Id="rId5" Type="http://schemas.openxmlformats.org/officeDocument/2006/relationships/hyperlink" Target="https://www.sumo.or.jp/EnHonbashoBanzuke/index/" TargetMode="External"/><Relationship Id="rId4" Type="http://schemas.openxmlformats.org/officeDocument/2006/relationships/hyperlink" Target="https://www.sumo.or.jp/EnHonbashoBanzuke/index/"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umo.or.jp/EnHonbashoBanzuke/index/"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umo.or.jp/EnHonbashoBanzuke/inde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sumo.or.jp/EnHonbashoBanzuke/index/"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sumo.or.jp/EnHonbashoBanzuke/ind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7DD38-AD06-4250-9520-A2F29B57D9C0}">
  <dimension ref="A2:Q45"/>
  <sheetViews>
    <sheetView zoomScale="106" zoomScaleNormal="106" workbookViewId="0">
      <pane xSplit="1" ySplit="3" topLeftCell="B9" activePane="bottomRight" state="frozen"/>
      <selection pane="topRight" activeCell="B1" sqref="B1"/>
      <selection pane="bottomLeft" activeCell="A4" sqref="A4"/>
      <selection pane="bottomRight" activeCell="L13" sqref="L13"/>
    </sheetView>
  </sheetViews>
  <sheetFormatPr defaultRowHeight="14.5"/>
  <cols>
    <col min="1" max="4" width="21.1796875" customWidth="1"/>
    <col min="7" max="7" width="11.26953125" bestFit="1" customWidth="1"/>
    <col min="8" max="8" width="8.7265625" style="4"/>
  </cols>
  <sheetData>
    <row r="2" spans="1:17">
      <c r="C2" t="s">
        <v>134</v>
      </c>
    </row>
    <row r="3" spans="1:17">
      <c r="A3" t="s">
        <v>3</v>
      </c>
      <c r="B3" t="s">
        <v>11</v>
      </c>
      <c r="C3" t="s">
        <v>131</v>
      </c>
      <c r="D3" t="s">
        <v>156</v>
      </c>
      <c r="E3" t="s">
        <v>5</v>
      </c>
      <c r="F3" t="s">
        <v>4</v>
      </c>
      <c r="G3" t="s">
        <v>26</v>
      </c>
      <c r="H3" s="4" t="s">
        <v>6</v>
      </c>
      <c r="I3" t="s">
        <v>7</v>
      </c>
      <c r="J3" t="s">
        <v>8</v>
      </c>
      <c r="K3" t="s">
        <v>9</v>
      </c>
      <c r="L3" t="s">
        <v>10</v>
      </c>
      <c r="Q3" s="14"/>
    </row>
    <row r="4" spans="1:17">
      <c r="A4" s="1" t="s">
        <v>86</v>
      </c>
      <c r="B4" s="1">
        <v>7</v>
      </c>
      <c r="C4" s="1" t="s">
        <v>14</v>
      </c>
      <c r="D4" s="1">
        <f>_xlfn.XLOOKUP(C4,'rank lookup'!$A$1:$A$21,'rank lookup'!$B$1:$B$21,,0)</f>
        <v>1</v>
      </c>
      <c r="E4" s="19">
        <v>192</v>
      </c>
      <c r="F4" s="19">
        <v>181</v>
      </c>
      <c r="G4" s="5">
        <f t="shared" ref="G4:G45" si="0">F4/(E4*E4)*10000</f>
        <v>49.099392361111107</v>
      </c>
      <c r="H4" s="4">
        <f t="shared" ref="H4:H45" si="1">CONVERT(E4,"cm","in")</f>
        <v>75.59055118110237</v>
      </c>
      <c r="I4">
        <f t="shared" ref="I4:I45" si="2">_xlfn.FLOOR.MATH(H4/12)</f>
        <v>6</v>
      </c>
      <c r="J4">
        <f t="shared" ref="J4:J45" si="3">ROUND(H4-I4*12,1)</f>
        <v>3.6</v>
      </c>
      <c r="K4" t="str">
        <f t="shared" ref="K4:K45" si="4">I4&amp;"' "&amp;J4&amp;""""</f>
        <v>6' 3.6"</v>
      </c>
      <c r="L4">
        <f t="shared" ref="L4:L45" si="5">ROUND(CONVERT(F4,"kg","lbm"),0)</f>
        <v>399</v>
      </c>
    </row>
    <row r="5" spans="1:17">
      <c r="A5" s="1" t="s">
        <v>123</v>
      </c>
      <c r="B5" s="1">
        <v>2</v>
      </c>
      <c r="C5" s="1" t="s">
        <v>39</v>
      </c>
      <c r="D5" s="1">
        <f>_xlfn.XLOOKUP(C5,'rank lookup'!$A$1:$A$21,'rank lookup'!$B$1:$B$21,,0)</f>
        <v>2</v>
      </c>
      <c r="E5" s="19">
        <v>175</v>
      </c>
      <c r="F5" s="19">
        <v>163</v>
      </c>
      <c r="G5" s="5">
        <f t="shared" si="0"/>
        <v>53.224489795918366</v>
      </c>
      <c r="H5" s="4">
        <f t="shared" si="1"/>
        <v>68.897637795275585</v>
      </c>
      <c r="I5">
        <f t="shared" si="2"/>
        <v>5</v>
      </c>
      <c r="J5">
        <f t="shared" si="3"/>
        <v>8.9</v>
      </c>
      <c r="K5" t="str">
        <f t="shared" si="4"/>
        <v>5' 8.9"</v>
      </c>
      <c r="L5">
        <f t="shared" si="5"/>
        <v>359</v>
      </c>
      <c r="M5" s="14"/>
    </row>
    <row r="6" spans="1:17">
      <c r="A6" s="1" t="s">
        <v>116</v>
      </c>
      <c r="B6" s="1">
        <v>2</v>
      </c>
      <c r="C6" s="1" t="s">
        <v>39</v>
      </c>
      <c r="D6" s="1">
        <f>_xlfn.XLOOKUP(C6,'rank lookup'!$A$1:$A$21,'rank lookup'!$B$1:$B$21,,0)</f>
        <v>2</v>
      </c>
      <c r="E6" s="19">
        <v>179</v>
      </c>
      <c r="F6" s="19">
        <v>171</v>
      </c>
      <c r="G6" s="5">
        <f t="shared" si="0"/>
        <v>53.369120813957117</v>
      </c>
      <c r="H6" s="4">
        <f t="shared" si="1"/>
        <v>70.472440944881896</v>
      </c>
      <c r="I6">
        <f t="shared" si="2"/>
        <v>5</v>
      </c>
      <c r="J6">
        <f t="shared" si="3"/>
        <v>10.5</v>
      </c>
      <c r="K6" t="str">
        <f t="shared" si="4"/>
        <v>5' 10.5"</v>
      </c>
      <c r="L6">
        <f t="shared" si="5"/>
        <v>377</v>
      </c>
    </row>
    <row r="7" spans="1:17">
      <c r="A7" s="1" t="s">
        <v>109</v>
      </c>
      <c r="B7" s="1">
        <v>1</v>
      </c>
      <c r="C7" s="1" t="s">
        <v>39</v>
      </c>
      <c r="D7" s="1">
        <f>_xlfn.XLOOKUP(C7,'rank lookup'!$A$1:$A$21,'rank lookup'!$B$1:$B$21,,0)</f>
        <v>2</v>
      </c>
      <c r="E7" s="19">
        <v>183</v>
      </c>
      <c r="F7" s="19">
        <v>162</v>
      </c>
      <c r="G7" s="5">
        <f t="shared" si="0"/>
        <v>48.374092985756519</v>
      </c>
      <c r="H7" s="4">
        <f t="shared" si="1"/>
        <v>72.047244094488192</v>
      </c>
      <c r="I7">
        <f t="shared" si="2"/>
        <v>6</v>
      </c>
      <c r="J7">
        <f t="shared" si="3"/>
        <v>0</v>
      </c>
      <c r="K7" t="str">
        <f t="shared" si="4"/>
        <v>6' 0"</v>
      </c>
      <c r="L7">
        <f t="shared" si="5"/>
        <v>357</v>
      </c>
    </row>
    <row r="8" spans="1:17">
      <c r="A8" s="1" t="s">
        <v>112</v>
      </c>
      <c r="B8" s="1">
        <v>1</v>
      </c>
      <c r="C8" s="1" t="s">
        <v>31</v>
      </c>
      <c r="D8" s="1">
        <f>_xlfn.XLOOKUP(C8,'rank lookup'!$A$1:$A$21,'rank lookup'!$B$1:$B$21,,0)</f>
        <v>3</v>
      </c>
      <c r="E8" s="19">
        <v>182</v>
      </c>
      <c r="F8" s="19">
        <v>161</v>
      </c>
      <c r="G8" s="5">
        <f t="shared" si="0"/>
        <v>48.605240912933226</v>
      </c>
      <c r="H8" s="4">
        <f t="shared" si="1"/>
        <v>71.653543307086608</v>
      </c>
      <c r="I8">
        <f t="shared" si="2"/>
        <v>5</v>
      </c>
      <c r="J8">
        <f t="shared" si="3"/>
        <v>11.7</v>
      </c>
      <c r="K8" t="str">
        <f t="shared" si="4"/>
        <v>5' 11.7"</v>
      </c>
      <c r="L8">
        <f t="shared" si="5"/>
        <v>355</v>
      </c>
    </row>
    <row r="9" spans="1:17">
      <c r="A9" s="1" t="s">
        <v>114</v>
      </c>
      <c r="B9" s="1"/>
      <c r="C9" s="1" t="s">
        <v>31</v>
      </c>
      <c r="D9" s="1">
        <f>_xlfn.XLOOKUP(C9,'rank lookup'!$A$1:$A$21,'rank lookup'!$B$1:$B$21,,0)</f>
        <v>3</v>
      </c>
      <c r="E9" s="19">
        <v>183</v>
      </c>
      <c r="F9" s="19">
        <v>132</v>
      </c>
      <c r="G9" s="5">
        <f t="shared" si="0"/>
        <v>39.415927618023829</v>
      </c>
      <c r="H9" s="4">
        <f t="shared" si="1"/>
        <v>72.047244094488192</v>
      </c>
      <c r="I9">
        <f t="shared" si="2"/>
        <v>6</v>
      </c>
      <c r="J9">
        <f t="shared" si="3"/>
        <v>0</v>
      </c>
      <c r="K9" t="str">
        <f t="shared" si="4"/>
        <v>6' 0"</v>
      </c>
      <c r="L9">
        <f t="shared" si="5"/>
        <v>291</v>
      </c>
    </row>
    <row r="10" spans="1:17">
      <c r="A10" s="1" t="s">
        <v>95</v>
      </c>
      <c r="B10" s="1"/>
      <c r="C10" s="1" t="s">
        <v>31</v>
      </c>
      <c r="D10" s="1">
        <f>_xlfn.XLOOKUP(C10,'rank lookup'!$A$1:$A$21,'rank lookup'!$B$1:$B$21,,0)</f>
        <v>3</v>
      </c>
      <c r="E10" s="19">
        <v>185</v>
      </c>
      <c r="F10" s="19">
        <v>140</v>
      </c>
      <c r="G10" s="5">
        <f t="shared" si="0"/>
        <v>40.905770635500367</v>
      </c>
      <c r="H10" s="4">
        <f t="shared" si="1"/>
        <v>72.834645669291348</v>
      </c>
      <c r="I10">
        <f t="shared" si="2"/>
        <v>6</v>
      </c>
      <c r="J10">
        <f t="shared" si="3"/>
        <v>0.8</v>
      </c>
      <c r="K10" t="str">
        <f t="shared" si="4"/>
        <v>6' 0.8"</v>
      </c>
      <c r="L10">
        <f t="shared" si="5"/>
        <v>309</v>
      </c>
    </row>
    <row r="11" spans="1:17">
      <c r="A11" s="1" t="s">
        <v>102</v>
      </c>
      <c r="B11" s="1"/>
      <c r="C11" s="1" t="s">
        <v>42</v>
      </c>
      <c r="D11" s="1">
        <f>_xlfn.XLOOKUP(C11,'rank lookup'!$A$1:$A$21,'rank lookup'!$B$1:$B$21,,0)</f>
        <v>4</v>
      </c>
      <c r="E11" s="19">
        <v>185</v>
      </c>
      <c r="F11" s="19">
        <v>138</v>
      </c>
      <c r="G11" s="5">
        <f t="shared" si="0"/>
        <v>40.321402483564647</v>
      </c>
      <c r="H11" s="4">
        <f t="shared" si="1"/>
        <v>72.834645669291348</v>
      </c>
      <c r="I11">
        <f t="shared" si="2"/>
        <v>6</v>
      </c>
      <c r="J11">
        <f t="shared" si="3"/>
        <v>0.8</v>
      </c>
      <c r="K11" t="str">
        <f t="shared" si="4"/>
        <v>6' 0.8"</v>
      </c>
      <c r="L11">
        <f t="shared" si="5"/>
        <v>304</v>
      </c>
    </row>
    <row r="12" spans="1:17">
      <c r="A12" s="1" t="s">
        <v>93</v>
      </c>
      <c r="B12" s="1"/>
      <c r="C12" s="1" t="s">
        <v>42</v>
      </c>
      <c r="D12" s="1">
        <f>_xlfn.XLOOKUP(C12,'rank lookup'!$A$1:$A$21,'rank lookup'!$B$1:$B$21,,0)</f>
        <v>4</v>
      </c>
      <c r="E12" s="19">
        <v>187</v>
      </c>
      <c r="F12" s="19">
        <v>151</v>
      </c>
      <c r="G12" s="5">
        <f t="shared" si="0"/>
        <v>43.181103262889984</v>
      </c>
      <c r="H12" s="4">
        <f t="shared" si="1"/>
        <v>73.622047244094489</v>
      </c>
      <c r="I12">
        <f t="shared" si="2"/>
        <v>6</v>
      </c>
      <c r="J12">
        <f t="shared" si="3"/>
        <v>1.6</v>
      </c>
      <c r="K12" t="str">
        <f t="shared" si="4"/>
        <v>6' 1.6"</v>
      </c>
      <c r="L12">
        <f t="shared" si="5"/>
        <v>333</v>
      </c>
    </row>
    <row r="13" spans="1:17">
      <c r="A13" s="1" t="s">
        <v>89</v>
      </c>
      <c r="B13" s="1">
        <v>1</v>
      </c>
      <c r="C13" s="1" t="s">
        <v>42</v>
      </c>
      <c r="D13" s="1">
        <f>_xlfn.XLOOKUP(C13,'rank lookup'!$A$1:$A$21,'rank lookup'!$B$1:$B$21,,0)</f>
        <v>4</v>
      </c>
      <c r="E13" s="19">
        <v>190</v>
      </c>
      <c r="F13" s="19">
        <v>212</v>
      </c>
      <c r="G13" s="5">
        <f t="shared" si="0"/>
        <v>58.725761772853183</v>
      </c>
      <c r="H13" s="4">
        <f t="shared" si="1"/>
        <v>74.803149606299215</v>
      </c>
      <c r="I13">
        <f t="shared" si="2"/>
        <v>6</v>
      </c>
      <c r="J13">
        <f t="shared" si="3"/>
        <v>2.8</v>
      </c>
      <c r="K13" t="str">
        <f t="shared" si="4"/>
        <v>6' 2.8"</v>
      </c>
      <c r="L13">
        <f t="shared" si="5"/>
        <v>467</v>
      </c>
    </row>
    <row r="14" spans="1:17">
      <c r="A14" s="1" t="s">
        <v>133</v>
      </c>
      <c r="C14" t="s">
        <v>132</v>
      </c>
      <c r="D14" s="1">
        <f>_xlfn.XLOOKUP(C14,'rank lookup'!$A$1:$A$21,'rank lookup'!$B$1:$B$21,,0)</f>
        <v>5</v>
      </c>
      <c r="E14" s="19">
        <v>171</v>
      </c>
      <c r="F14" s="19">
        <v>114</v>
      </c>
      <c r="G14" s="5">
        <f t="shared" si="0"/>
        <v>38.98635477582846</v>
      </c>
      <c r="H14" s="4">
        <f t="shared" si="1"/>
        <v>67.322834645669289</v>
      </c>
      <c r="I14">
        <f t="shared" si="2"/>
        <v>5</v>
      </c>
      <c r="J14">
        <f t="shared" si="3"/>
        <v>7.3</v>
      </c>
      <c r="K14" t="str">
        <f t="shared" si="4"/>
        <v>5' 7.3"</v>
      </c>
      <c r="L14">
        <f t="shared" si="5"/>
        <v>251</v>
      </c>
    </row>
    <row r="15" spans="1:17">
      <c r="A15" s="1" t="s">
        <v>124</v>
      </c>
      <c r="B15" s="1"/>
      <c r="C15" s="1" t="s">
        <v>132</v>
      </c>
      <c r="D15" s="1">
        <f>_xlfn.XLOOKUP(C15,'rank lookup'!$A$1:$A$21,'rank lookup'!$B$1:$B$21,,0)</f>
        <v>5</v>
      </c>
      <c r="E15" s="19">
        <v>174</v>
      </c>
      <c r="F15" s="19">
        <v>133</v>
      </c>
      <c r="G15" s="5">
        <f t="shared" si="0"/>
        <v>43.929184832870916</v>
      </c>
      <c r="H15" s="4">
        <f t="shared" si="1"/>
        <v>68.503937007874015</v>
      </c>
      <c r="I15">
        <f t="shared" si="2"/>
        <v>5</v>
      </c>
      <c r="J15">
        <f t="shared" si="3"/>
        <v>8.5</v>
      </c>
      <c r="K15" t="str">
        <f t="shared" si="4"/>
        <v>5' 8.5"</v>
      </c>
      <c r="L15">
        <f t="shared" si="5"/>
        <v>293</v>
      </c>
    </row>
    <row r="16" spans="1:17">
      <c r="A16" s="1" t="s">
        <v>117</v>
      </c>
      <c r="B16" s="1"/>
      <c r="C16" s="1" t="s">
        <v>136</v>
      </c>
      <c r="D16" s="1">
        <f>_xlfn.XLOOKUP(C16,'rank lookup'!$A$1:$A$21,'rank lookup'!$B$1:$B$21,,0)</f>
        <v>6</v>
      </c>
      <c r="E16" s="19">
        <v>180</v>
      </c>
      <c r="F16" s="19">
        <v>153</v>
      </c>
      <c r="G16" s="5">
        <f t="shared" si="0"/>
        <v>47.222222222222221</v>
      </c>
      <c r="H16" s="4">
        <f t="shared" si="1"/>
        <v>70.866141732283467</v>
      </c>
      <c r="I16">
        <f t="shared" si="2"/>
        <v>5</v>
      </c>
      <c r="J16">
        <f t="shared" si="3"/>
        <v>10.9</v>
      </c>
      <c r="K16" t="str">
        <f t="shared" si="4"/>
        <v>5' 10.9"</v>
      </c>
      <c r="L16">
        <f t="shared" si="5"/>
        <v>337</v>
      </c>
    </row>
    <row r="17" spans="1:12">
      <c r="A17" s="1" t="s">
        <v>94</v>
      </c>
      <c r="B17" s="1"/>
      <c r="C17" s="1" t="s">
        <v>136</v>
      </c>
      <c r="D17" s="1">
        <f>_xlfn.XLOOKUP(C17,'rank lookup'!$A$1:$A$21,'rank lookup'!$B$1:$B$21,,0)</f>
        <v>6</v>
      </c>
      <c r="E17" s="19">
        <v>189</v>
      </c>
      <c r="F17" s="19">
        <v>167</v>
      </c>
      <c r="G17" s="5">
        <f t="shared" si="0"/>
        <v>46.751210772374797</v>
      </c>
      <c r="H17" s="4">
        <f t="shared" si="1"/>
        <v>74.409448818897644</v>
      </c>
      <c r="I17">
        <f t="shared" si="2"/>
        <v>6</v>
      </c>
      <c r="J17">
        <f t="shared" si="3"/>
        <v>2.4</v>
      </c>
      <c r="K17" t="str">
        <f t="shared" si="4"/>
        <v>6' 2.4"</v>
      </c>
      <c r="L17">
        <f t="shared" si="5"/>
        <v>368</v>
      </c>
    </row>
    <row r="18" spans="1:12">
      <c r="A18" s="1" t="s">
        <v>121</v>
      </c>
      <c r="B18" s="1"/>
      <c r="C18" s="1" t="s">
        <v>137</v>
      </c>
      <c r="D18" s="1">
        <f>_xlfn.XLOOKUP(C18,'rank lookup'!$A$1:$A$21,'rank lookup'!$B$1:$B$21,,0)</f>
        <v>7</v>
      </c>
      <c r="E18" s="19">
        <v>175</v>
      </c>
      <c r="F18" s="19">
        <v>151</v>
      </c>
      <c r="G18" s="5">
        <f t="shared" si="0"/>
        <v>49.306122448979593</v>
      </c>
      <c r="H18" s="4">
        <f t="shared" si="1"/>
        <v>68.897637795275585</v>
      </c>
      <c r="I18">
        <f t="shared" si="2"/>
        <v>5</v>
      </c>
      <c r="J18">
        <f t="shared" si="3"/>
        <v>8.9</v>
      </c>
      <c r="K18" t="str">
        <f t="shared" si="4"/>
        <v>5' 8.9"</v>
      </c>
      <c r="L18">
        <f t="shared" si="5"/>
        <v>333</v>
      </c>
    </row>
    <row r="19" spans="1:12">
      <c r="A19" s="1" t="s">
        <v>92</v>
      </c>
      <c r="B19" s="1">
        <v>1</v>
      </c>
      <c r="C19" s="1" t="s">
        <v>137</v>
      </c>
      <c r="D19" s="1">
        <f>_xlfn.XLOOKUP(C19,'rank lookup'!$A$1:$A$21,'rank lookup'!$B$1:$B$21,,0)</f>
        <v>7</v>
      </c>
      <c r="E19" s="19">
        <v>189</v>
      </c>
      <c r="F19" s="19">
        <v>174</v>
      </c>
      <c r="G19" s="5">
        <f t="shared" si="0"/>
        <v>48.710842361636011</v>
      </c>
      <c r="H19" s="4">
        <f t="shared" si="1"/>
        <v>74.409448818897644</v>
      </c>
      <c r="I19">
        <f t="shared" si="2"/>
        <v>6</v>
      </c>
      <c r="J19">
        <f t="shared" si="3"/>
        <v>2.4</v>
      </c>
      <c r="K19" t="str">
        <f t="shared" si="4"/>
        <v>6' 2.4"</v>
      </c>
      <c r="L19">
        <f t="shared" si="5"/>
        <v>384</v>
      </c>
    </row>
    <row r="20" spans="1:12">
      <c r="A20" s="1" t="s">
        <v>138</v>
      </c>
      <c r="C20" s="1" t="s">
        <v>139</v>
      </c>
      <c r="D20" s="1">
        <f>_xlfn.XLOOKUP(C20,'rank lookup'!$A$1:$A$21,'rank lookup'!$B$1:$B$21,,0)</f>
        <v>8</v>
      </c>
      <c r="E20" s="19">
        <v>184</v>
      </c>
      <c r="F20" s="19">
        <v>170</v>
      </c>
      <c r="G20" s="5">
        <f t="shared" si="0"/>
        <v>50.21266540642722</v>
      </c>
      <c r="H20" s="4">
        <f t="shared" si="1"/>
        <v>72.440944881889763</v>
      </c>
      <c r="I20">
        <f t="shared" si="2"/>
        <v>6</v>
      </c>
      <c r="J20">
        <f t="shared" si="3"/>
        <v>0.4</v>
      </c>
      <c r="K20" t="str">
        <f t="shared" si="4"/>
        <v>6' 0.4"</v>
      </c>
      <c r="L20">
        <f t="shared" si="5"/>
        <v>375</v>
      </c>
    </row>
    <row r="21" spans="1:12">
      <c r="A21" s="1" t="s">
        <v>96</v>
      </c>
      <c r="B21" s="1"/>
      <c r="C21" s="1" t="s">
        <v>139</v>
      </c>
      <c r="D21" s="1">
        <f>_xlfn.XLOOKUP(C21,'rank lookup'!$A$1:$A$21,'rank lookup'!$B$1:$B$21,,0)</f>
        <v>8</v>
      </c>
      <c r="E21" s="19">
        <v>186</v>
      </c>
      <c r="F21" s="19">
        <v>182</v>
      </c>
      <c r="G21" s="5">
        <f t="shared" si="0"/>
        <v>52.607237830963122</v>
      </c>
      <c r="H21" s="4">
        <f t="shared" si="1"/>
        <v>73.228346456692918</v>
      </c>
      <c r="I21">
        <f t="shared" si="2"/>
        <v>6</v>
      </c>
      <c r="J21">
        <f t="shared" si="3"/>
        <v>1.2</v>
      </c>
      <c r="K21" t="str">
        <f t="shared" si="4"/>
        <v>6' 1.2"</v>
      </c>
      <c r="L21">
        <f t="shared" si="5"/>
        <v>401</v>
      </c>
    </row>
    <row r="22" spans="1:12">
      <c r="A22" s="1" t="s">
        <v>111</v>
      </c>
      <c r="B22" s="1"/>
      <c r="C22" s="1" t="s">
        <v>140</v>
      </c>
      <c r="D22" s="1">
        <f>_xlfn.XLOOKUP(C22,'rank lookup'!$A$1:$A$21,'rank lookup'!$B$1:$B$21,,0)</f>
        <v>9</v>
      </c>
      <c r="E22" s="19">
        <v>182</v>
      </c>
      <c r="F22" s="19">
        <v>141</v>
      </c>
      <c r="G22" s="5">
        <f t="shared" si="0"/>
        <v>42.567322787103002</v>
      </c>
      <c r="H22" s="4">
        <f t="shared" si="1"/>
        <v>71.653543307086608</v>
      </c>
      <c r="I22">
        <f t="shared" si="2"/>
        <v>5</v>
      </c>
      <c r="J22">
        <f t="shared" si="3"/>
        <v>11.7</v>
      </c>
      <c r="K22" t="str">
        <f t="shared" si="4"/>
        <v>5' 11.7"</v>
      </c>
      <c r="L22">
        <f t="shared" si="5"/>
        <v>311</v>
      </c>
    </row>
    <row r="23" spans="1:12">
      <c r="A23" s="1" t="s">
        <v>104</v>
      </c>
      <c r="B23" s="1"/>
      <c r="C23" s="1" t="s">
        <v>140</v>
      </c>
      <c r="D23" s="1">
        <f>_xlfn.XLOOKUP(C23,'rank lookup'!$A$1:$A$21,'rank lookup'!$B$1:$B$21,,0)</f>
        <v>9</v>
      </c>
      <c r="E23" s="19">
        <v>186</v>
      </c>
      <c r="F23" s="19">
        <v>166</v>
      </c>
      <c r="G23" s="5">
        <f t="shared" si="0"/>
        <v>47.982425713955372</v>
      </c>
      <c r="H23" s="4">
        <f t="shared" si="1"/>
        <v>73.228346456692918</v>
      </c>
      <c r="I23">
        <f t="shared" si="2"/>
        <v>6</v>
      </c>
      <c r="J23">
        <f t="shared" si="3"/>
        <v>1.2</v>
      </c>
      <c r="K23" t="str">
        <f t="shared" si="4"/>
        <v>6' 1.2"</v>
      </c>
      <c r="L23">
        <f t="shared" si="5"/>
        <v>366</v>
      </c>
    </row>
    <row r="24" spans="1:12">
      <c r="A24" s="1" t="s">
        <v>99</v>
      </c>
      <c r="B24" s="1"/>
      <c r="C24" s="1" t="s">
        <v>141</v>
      </c>
      <c r="D24" s="1">
        <f>_xlfn.XLOOKUP(C24,'rank lookup'!$A$1:$A$21,'rank lookup'!$B$1:$B$21,,0)</f>
        <v>10</v>
      </c>
      <c r="E24" s="19">
        <v>183</v>
      </c>
      <c r="F24" s="19">
        <v>149</v>
      </c>
      <c r="G24" s="5">
        <f t="shared" si="0"/>
        <v>44.492221326405691</v>
      </c>
      <c r="H24" s="4">
        <f t="shared" si="1"/>
        <v>72.047244094488192</v>
      </c>
      <c r="I24">
        <f t="shared" si="2"/>
        <v>6</v>
      </c>
      <c r="J24">
        <f t="shared" si="3"/>
        <v>0</v>
      </c>
      <c r="K24" t="str">
        <f t="shared" si="4"/>
        <v>6' 0"</v>
      </c>
      <c r="L24">
        <f t="shared" si="5"/>
        <v>328</v>
      </c>
    </row>
    <row r="25" spans="1:12">
      <c r="A25" s="1" t="s">
        <v>100</v>
      </c>
      <c r="B25" s="1"/>
      <c r="C25" s="1" t="s">
        <v>141</v>
      </c>
      <c r="D25" s="1">
        <f>_xlfn.XLOOKUP(C25,'rank lookup'!$A$1:$A$21,'rank lookup'!$B$1:$B$21,,0)</f>
        <v>10</v>
      </c>
      <c r="E25" s="19">
        <v>186</v>
      </c>
      <c r="F25" s="19">
        <v>135</v>
      </c>
      <c r="G25" s="5">
        <f t="shared" si="0"/>
        <v>39.021852237252858</v>
      </c>
      <c r="H25" s="4">
        <f t="shared" si="1"/>
        <v>73.228346456692918</v>
      </c>
      <c r="I25">
        <f t="shared" si="2"/>
        <v>6</v>
      </c>
      <c r="J25">
        <f t="shared" si="3"/>
        <v>1.2</v>
      </c>
      <c r="K25" t="str">
        <f t="shared" si="4"/>
        <v>6' 1.2"</v>
      </c>
      <c r="L25">
        <f t="shared" si="5"/>
        <v>298</v>
      </c>
    </row>
    <row r="26" spans="1:12">
      <c r="A26" s="1" t="s">
        <v>120</v>
      </c>
      <c r="B26" s="1"/>
      <c r="C26" s="1" t="s">
        <v>135</v>
      </c>
      <c r="D26" s="1">
        <f>_xlfn.XLOOKUP(C26,'rank lookup'!$A$1:$A$21,'rank lookup'!$B$1:$B$21,,0)</f>
        <v>11</v>
      </c>
      <c r="E26" s="19">
        <v>178</v>
      </c>
      <c r="F26" s="19">
        <v>162</v>
      </c>
      <c r="G26" s="5">
        <f t="shared" si="0"/>
        <v>51.129907839919206</v>
      </c>
      <c r="H26" s="4">
        <f t="shared" si="1"/>
        <v>70.078740157480311</v>
      </c>
      <c r="I26">
        <f t="shared" si="2"/>
        <v>5</v>
      </c>
      <c r="J26">
        <f t="shared" si="3"/>
        <v>10.1</v>
      </c>
      <c r="K26" t="str">
        <f t="shared" si="4"/>
        <v>5' 10.1"</v>
      </c>
      <c r="L26">
        <f t="shared" si="5"/>
        <v>357</v>
      </c>
    </row>
    <row r="27" spans="1:12">
      <c r="A27" s="1" t="s">
        <v>91</v>
      </c>
      <c r="B27" s="1"/>
      <c r="C27" s="1" t="s">
        <v>135</v>
      </c>
      <c r="D27" s="1">
        <f>_xlfn.XLOOKUP(C27,'rank lookup'!$A$1:$A$21,'rank lookup'!$B$1:$B$21,,0)</f>
        <v>11</v>
      </c>
      <c r="E27" s="19">
        <v>190</v>
      </c>
      <c r="F27" s="19">
        <v>186</v>
      </c>
      <c r="G27" s="5">
        <f t="shared" si="0"/>
        <v>51.523545706371188</v>
      </c>
      <c r="H27" s="4">
        <f t="shared" si="1"/>
        <v>74.803149606299215</v>
      </c>
      <c r="I27">
        <f t="shared" si="2"/>
        <v>6</v>
      </c>
      <c r="J27">
        <f t="shared" si="3"/>
        <v>2.8</v>
      </c>
      <c r="K27" t="str">
        <f t="shared" si="4"/>
        <v>6' 2.8"</v>
      </c>
      <c r="L27">
        <f t="shared" si="5"/>
        <v>410</v>
      </c>
    </row>
    <row r="28" spans="1:12">
      <c r="A28" s="1" t="s">
        <v>103</v>
      </c>
      <c r="B28" s="1"/>
      <c r="C28" s="1" t="s">
        <v>142</v>
      </c>
      <c r="D28" s="1">
        <f>_xlfn.XLOOKUP(C28,'rank lookup'!$A$1:$A$21,'rank lookup'!$B$1:$B$21,,0)</f>
        <v>12</v>
      </c>
      <c r="E28" s="19">
        <v>184</v>
      </c>
      <c r="F28" s="19">
        <v>161</v>
      </c>
      <c r="G28" s="5">
        <f t="shared" si="0"/>
        <v>47.554347826086961</v>
      </c>
      <c r="H28" s="4">
        <f t="shared" si="1"/>
        <v>72.440944881889763</v>
      </c>
      <c r="I28">
        <f t="shared" si="2"/>
        <v>6</v>
      </c>
      <c r="J28">
        <f t="shared" si="3"/>
        <v>0.4</v>
      </c>
      <c r="K28" t="str">
        <f t="shared" si="4"/>
        <v>6' 0.4"</v>
      </c>
      <c r="L28">
        <f t="shared" si="5"/>
        <v>355</v>
      </c>
    </row>
    <row r="29" spans="1:12">
      <c r="A29" s="1" t="s">
        <v>87</v>
      </c>
      <c r="B29" s="1">
        <v>1</v>
      </c>
      <c r="C29" s="1" t="s">
        <v>142</v>
      </c>
      <c r="D29" s="1">
        <f>_xlfn.XLOOKUP(C29,'rank lookup'!$A$1:$A$21,'rank lookup'!$B$1:$B$21,,0)</f>
        <v>12</v>
      </c>
      <c r="E29" s="19">
        <v>192</v>
      </c>
      <c r="F29" s="19">
        <v>179</v>
      </c>
      <c r="G29" s="5">
        <f t="shared" si="0"/>
        <v>48.556857638888893</v>
      </c>
      <c r="H29" s="4">
        <f t="shared" si="1"/>
        <v>75.59055118110237</v>
      </c>
      <c r="I29">
        <f t="shared" si="2"/>
        <v>6</v>
      </c>
      <c r="J29">
        <f t="shared" si="3"/>
        <v>3.6</v>
      </c>
      <c r="K29" t="str">
        <f t="shared" si="4"/>
        <v>6' 3.6"</v>
      </c>
      <c r="L29">
        <f t="shared" si="5"/>
        <v>395</v>
      </c>
    </row>
    <row r="30" spans="1:12">
      <c r="A30" s="1" t="s">
        <v>122</v>
      </c>
      <c r="B30" s="1"/>
      <c r="C30" s="1" t="s">
        <v>143</v>
      </c>
      <c r="D30" s="1">
        <f>_xlfn.XLOOKUP(C30,'rank lookup'!$A$1:$A$21,'rank lookup'!$B$1:$B$21,,0)</f>
        <v>13</v>
      </c>
      <c r="E30" s="19">
        <v>176</v>
      </c>
      <c r="F30" s="19">
        <v>131</v>
      </c>
      <c r="G30" s="5">
        <f t="shared" si="0"/>
        <v>42.290805785123965</v>
      </c>
      <c r="H30" s="4">
        <f t="shared" si="1"/>
        <v>69.29133858267717</v>
      </c>
      <c r="I30">
        <f t="shared" si="2"/>
        <v>5</v>
      </c>
      <c r="J30">
        <f t="shared" si="3"/>
        <v>9.3000000000000007</v>
      </c>
      <c r="K30" t="str">
        <f t="shared" si="4"/>
        <v>5' 9.3"</v>
      </c>
      <c r="L30">
        <f t="shared" si="5"/>
        <v>289</v>
      </c>
    </row>
    <row r="31" spans="1:12">
      <c r="A31" s="1" t="s">
        <v>97</v>
      </c>
      <c r="B31" s="1"/>
      <c r="C31" s="1" t="s">
        <v>143</v>
      </c>
      <c r="D31" s="1">
        <f>_xlfn.XLOOKUP(C31,'rank lookup'!$A$1:$A$21,'rank lookup'!$B$1:$B$21,,0)</f>
        <v>13</v>
      </c>
      <c r="E31" s="19">
        <v>189</v>
      </c>
      <c r="F31" s="19">
        <v>154</v>
      </c>
      <c r="G31" s="5">
        <f t="shared" si="0"/>
        <v>43.111894963746821</v>
      </c>
      <c r="H31" s="4">
        <f t="shared" si="1"/>
        <v>74.409448818897644</v>
      </c>
      <c r="I31">
        <f t="shared" si="2"/>
        <v>6</v>
      </c>
      <c r="J31">
        <f t="shared" si="3"/>
        <v>2.4</v>
      </c>
      <c r="K31" t="str">
        <f t="shared" si="4"/>
        <v>6' 2.4"</v>
      </c>
      <c r="L31">
        <f t="shared" si="5"/>
        <v>340</v>
      </c>
    </row>
    <row r="32" spans="1:12">
      <c r="A32" t="s">
        <v>144</v>
      </c>
      <c r="C32" s="1" t="s">
        <v>145</v>
      </c>
      <c r="D32" s="1">
        <f>_xlfn.XLOOKUP(C32,'rank lookup'!$A$1:$A$21,'rank lookup'!$B$1:$B$21,,0)</f>
        <v>14</v>
      </c>
      <c r="E32" s="19">
        <v>184</v>
      </c>
      <c r="F32" s="19">
        <v>148</v>
      </c>
      <c r="G32" s="5">
        <f t="shared" si="0"/>
        <v>43.714555765595463</v>
      </c>
      <c r="H32" s="4">
        <f t="shared" si="1"/>
        <v>72.440944881889763</v>
      </c>
      <c r="I32">
        <f t="shared" si="2"/>
        <v>6</v>
      </c>
      <c r="J32">
        <f t="shared" si="3"/>
        <v>0.4</v>
      </c>
      <c r="K32" t="str">
        <f t="shared" si="4"/>
        <v>6' 0.4"</v>
      </c>
      <c r="L32">
        <f t="shared" si="5"/>
        <v>326</v>
      </c>
    </row>
    <row r="33" spans="1:12">
      <c r="A33" s="1" t="s">
        <v>101</v>
      </c>
      <c r="B33" s="1"/>
      <c r="C33" s="1" t="s">
        <v>145</v>
      </c>
      <c r="D33" s="1">
        <f>_xlfn.XLOOKUP(C33,'rank lookup'!$A$1:$A$21,'rank lookup'!$B$1:$B$21,,0)</f>
        <v>14</v>
      </c>
      <c r="E33" s="19">
        <v>184</v>
      </c>
      <c r="F33" s="19">
        <v>167</v>
      </c>
      <c r="G33" s="5">
        <f t="shared" si="0"/>
        <v>49.326559546313803</v>
      </c>
      <c r="H33" s="4">
        <f t="shared" si="1"/>
        <v>72.440944881889763</v>
      </c>
      <c r="I33">
        <f t="shared" si="2"/>
        <v>6</v>
      </c>
      <c r="J33">
        <f t="shared" si="3"/>
        <v>0.4</v>
      </c>
      <c r="K33" t="str">
        <f t="shared" si="4"/>
        <v>6' 0.4"</v>
      </c>
      <c r="L33">
        <f t="shared" si="5"/>
        <v>368</v>
      </c>
    </row>
    <row r="34" spans="1:12">
      <c r="A34" s="1" t="s">
        <v>113</v>
      </c>
      <c r="B34" s="1"/>
      <c r="C34" s="1" t="s">
        <v>147</v>
      </c>
      <c r="D34" s="1">
        <f>_xlfn.XLOOKUP(C34,'rank lookup'!$A$1:$A$21,'rank lookup'!$B$1:$B$21,,0)</f>
        <v>15</v>
      </c>
      <c r="E34" s="19">
        <v>181</v>
      </c>
      <c r="F34" s="19">
        <v>189</v>
      </c>
      <c r="G34" s="5">
        <f t="shared" si="0"/>
        <v>57.690546686609082</v>
      </c>
      <c r="H34" s="4">
        <f t="shared" si="1"/>
        <v>71.259842519685037</v>
      </c>
      <c r="I34">
        <f t="shared" si="2"/>
        <v>5</v>
      </c>
      <c r="J34">
        <f t="shared" si="3"/>
        <v>11.3</v>
      </c>
      <c r="K34" t="str">
        <f t="shared" si="4"/>
        <v>5' 11.3"</v>
      </c>
      <c r="L34">
        <f t="shared" si="5"/>
        <v>417</v>
      </c>
    </row>
    <row r="35" spans="1:12">
      <c r="A35" t="s">
        <v>146</v>
      </c>
      <c r="C35" s="1" t="s">
        <v>147</v>
      </c>
      <c r="D35" s="1">
        <f>_xlfn.XLOOKUP(C35,'rank lookup'!$A$1:$A$21,'rank lookup'!$B$1:$B$21,,0)</f>
        <v>15</v>
      </c>
      <c r="E35" s="19">
        <v>189</v>
      </c>
      <c r="F35" s="19">
        <v>158</v>
      </c>
      <c r="G35" s="5">
        <f t="shared" si="0"/>
        <v>44.23168444332466</v>
      </c>
      <c r="H35" s="4">
        <f t="shared" si="1"/>
        <v>74.409448818897644</v>
      </c>
      <c r="I35">
        <f t="shared" si="2"/>
        <v>6</v>
      </c>
      <c r="J35">
        <f t="shared" si="3"/>
        <v>2.4</v>
      </c>
      <c r="K35" t="str">
        <f t="shared" si="4"/>
        <v>6' 2.4"</v>
      </c>
      <c r="L35">
        <f t="shared" si="5"/>
        <v>348</v>
      </c>
    </row>
    <row r="36" spans="1:12">
      <c r="A36" t="s">
        <v>149</v>
      </c>
      <c r="C36" s="1" t="s">
        <v>148</v>
      </c>
      <c r="D36" s="1">
        <f>_xlfn.XLOOKUP(C36,'rank lookup'!$A$1:$A$21,'rank lookup'!$B$1:$B$21,,0)</f>
        <v>16</v>
      </c>
      <c r="E36" s="20">
        <v>187</v>
      </c>
      <c r="F36" s="19">
        <v>154</v>
      </c>
      <c r="G36" s="5">
        <f t="shared" si="0"/>
        <v>44.039005976722237</v>
      </c>
      <c r="H36" s="4">
        <f t="shared" si="1"/>
        <v>73.622047244094489</v>
      </c>
      <c r="I36">
        <f t="shared" si="2"/>
        <v>6</v>
      </c>
      <c r="J36">
        <f t="shared" si="3"/>
        <v>1.6</v>
      </c>
      <c r="K36" t="str">
        <f t="shared" si="4"/>
        <v>6' 1.6"</v>
      </c>
      <c r="L36">
        <f t="shared" si="5"/>
        <v>340</v>
      </c>
    </row>
    <row r="37" spans="1:12">
      <c r="A37" s="1" t="s">
        <v>90</v>
      </c>
      <c r="B37" s="1"/>
      <c r="C37" s="1" t="s">
        <v>148</v>
      </c>
      <c r="D37" s="1">
        <f>_xlfn.XLOOKUP(C37,'rank lookup'!$A$1:$A$21,'rank lookup'!$B$1:$B$21,,0)</f>
        <v>16</v>
      </c>
      <c r="E37" s="19">
        <v>189</v>
      </c>
      <c r="F37" s="19">
        <v>156</v>
      </c>
      <c r="G37" s="5">
        <f t="shared" si="0"/>
        <v>43.671789703535737</v>
      </c>
      <c r="H37" s="4">
        <f t="shared" si="1"/>
        <v>74.409448818897644</v>
      </c>
      <c r="I37">
        <f t="shared" si="2"/>
        <v>6</v>
      </c>
      <c r="J37">
        <f t="shared" si="3"/>
        <v>2.4</v>
      </c>
      <c r="K37" t="str">
        <f t="shared" si="4"/>
        <v>6' 2.4"</v>
      </c>
      <c r="L37">
        <f t="shared" si="5"/>
        <v>344</v>
      </c>
    </row>
    <row r="38" spans="1:12">
      <c r="A38" s="1" t="s">
        <v>98</v>
      </c>
      <c r="B38" s="1"/>
      <c r="C38" s="1" t="s">
        <v>150</v>
      </c>
      <c r="D38" s="1">
        <f>_xlfn.XLOOKUP(C38,'rank lookup'!$A$1:$A$21,'rank lookup'!$B$1:$B$21,,0)</f>
        <v>17</v>
      </c>
      <c r="E38" s="19">
        <v>187</v>
      </c>
      <c r="F38" s="19">
        <v>145</v>
      </c>
      <c r="G38" s="5">
        <f t="shared" si="0"/>
        <v>41.465297835225485</v>
      </c>
      <c r="H38" s="4">
        <f t="shared" si="1"/>
        <v>73.622047244094489</v>
      </c>
      <c r="I38">
        <f t="shared" si="2"/>
        <v>6</v>
      </c>
      <c r="J38">
        <f t="shared" si="3"/>
        <v>1.6</v>
      </c>
      <c r="K38" t="str">
        <f t="shared" si="4"/>
        <v>6' 1.6"</v>
      </c>
      <c r="L38">
        <f t="shared" si="5"/>
        <v>320</v>
      </c>
    </row>
    <row r="39" spans="1:12">
      <c r="A39" s="1" t="s">
        <v>88</v>
      </c>
      <c r="B39" s="1"/>
      <c r="C39" s="1" t="s">
        <v>150</v>
      </c>
      <c r="D39" s="1">
        <f>_xlfn.XLOOKUP(C39,'rank lookup'!$A$1:$A$21,'rank lookup'!$B$1:$B$21,,0)</f>
        <v>17</v>
      </c>
      <c r="E39" s="19">
        <v>189</v>
      </c>
      <c r="F39" s="19">
        <v>176</v>
      </c>
      <c r="G39" s="5">
        <f t="shared" si="0"/>
        <v>49.270737101424935</v>
      </c>
      <c r="H39" s="4">
        <f t="shared" si="1"/>
        <v>74.409448818897644</v>
      </c>
      <c r="I39">
        <f t="shared" si="2"/>
        <v>6</v>
      </c>
      <c r="J39">
        <f t="shared" si="3"/>
        <v>2.4</v>
      </c>
      <c r="K39" t="str">
        <f t="shared" si="4"/>
        <v>6' 2.4"</v>
      </c>
      <c r="L39">
        <f t="shared" si="5"/>
        <v>388</v>
      </c>
    </row>
    <row r="40" spans="1:12">
      <c r="A40" s="1" t="s">
        <v>110</v>
      </c>
      <c r="B40" s="1"/>
      <c r="C40" s="1" t="s">
        <v>151</v>
      </c>
      <c r="D40" s="1">
        <f>_xlfn.XLOOKUP(C40,'rank lookup'!$A$1:$A$21,'rank lookup'!$B$1:$B$21,,0)</f>
        <v>18</v>
      </c>
      <c r="E40" s="19">
        <v>183</v>
      </c>
      <c r="F40" s="19">
        <v>135</v>
      </c>
      <c r="G40" s="5">
        <f t="shared" si="0"/>
        <v>40.311744154797097</v>
      </c>
      <c r="H40" s="4">
        <f t="shared" si="1"/>
        <v>72.047244094488192</v>
      </c>
      <c r="I40">
        <f t="shared" si="2"/>
        <v>6</v>
      </c>
      <c r="J40">
        <f t="shared" si="3"/>
        <v>0</v>
      </c>
      <c r="K40" t="str">
        <f t="shared" si="4"/>
        <v>6' 0"</v>
      </c>
      <c r="L40">
        <f t="shared" si="5"/>
        <v>298</v>
      </c>
    </row>
    <row r="41" spans="1:12">
      <c r="A41" s="1" t="s">
        <v>107</v>
      </c>
      <c r="B41" s="1"/>
      <c r="C41" s="1" t="s">
        <v>151</v>
      </c>
      <c r="D41" s="1">
        <f>_xlfn.XLOOKUP(C41,'rank lookup'!$A$1:$A$21,'rank lookup'!$B$1:$B$21,,0)</f>
        <v>18</v>
      </c>
      <c r="E41" s="19">
        <v>185</v>
      </c>
      <c r="F41" s="19">
        <v>181</v>
      </c>
      <c r="G41" s="5">
        <f t="shared" si="0"/>
        <v>52.885317750182615</v>
      </c>
      <c r="H41" s="4">
        <f t="shared" si="1"/>
        <v>72.834645669291348</v>
      </c>
      <c r="I41">
        <f t="shared" si="2"/>
        <v>6</v>
      </c>
      <c r="J41">
        <f t="shared" si="3"/>
        <v>0.8</v>
      </c>
      <c r="K41" t="str">
        <f t="shared" si="4"/>
        <v>6' 0.8"</v>
      </c>
      <c r="L41">
        <f t="shared" si="5"/>
        <v>399</v>
      </c>
    </row>
    <row r="42" spans="1:12">
      <c r="A42" s="1" t="s">
        <v>126</v>
      </c>
      <c r="B42" s="1"/>
      <c r="C42" s="1" t="s">
        <v>152</v>
      </c>
      <c r="D42" s="1">
        <f>_xlfn.XLOOKUP(C42,'rank lookup'!$A$1:$A$21,'rank lookup'!$B$1:$B$21,,0)</f>
        <v>19</v>
      </c>
      <c r="E42" s="19">
        <v>169</v>
      </c>
      <c r="F42" s="19">
        <v>107</v>
      </c>
      <c r="G42" s="5">
        <f t="shared" si="0"/>
        <v>37.463674241098005</v>
      </c>
      <c r="H42" s="4">
        <f t="shared" si="1"/>
        <v>66.535433070866134</v>
      </c>
      <c r="I42">
        <f t="shared" si="2"/>
        <v>5</v>
      </c>
      <c r="J42">
        <f t="shared" si="3"/>
        <v>6.5</v>
      </c>
      <c r="K42" t="str">
        <f t="shared" si="4"/>
        <v>5' 6.5"</v>
      </c>
      <c r="L42">
        <f t="shared" si="5"/>
        <v>236</v>
      </c>
    </row>
    <row r="43" spans="1:12">
      <c r="A43" s="1" t="s">
        <v>108</v>
      </c>
      <c r="B43" s="1"/>
      <c r="C43" s="1" t="s">
        <v>152</v>
      </c>
      <c r="D43" s="1">
        <f>_xlfn.XLOOKUP(C43,'rank lookup'!$A$1:$A$21,'rank lookup'!$B$1:$B$21,,0)</f>
        <v>19</v>
      </c>
      <c r="E43" s="19">
        <v>184</v>
      </c>
      <c r="F43" s="19">
        <v>200</v>
      </c>
      <c r="G43" s="5">
        <f t="shared" si="0"/>
        <v>59.073724007561438</v>
      </c>
      <c r="H43" s="4">
        <f t="shared" si="1"/>
        <v>72.440944881889763</v>
      </c>
      <c r="I43">
        <f t="shared" si="2"/>
        <v>6</v>
      </c>
      <c r="J43">
        <f t="shared" si="3"/>
        <v>0.4</v>
      </c>
      <c r="K43" t="str">
        <f t="shared" si="4"/>
        <v>6' 0.4"</v>
      </c>
      <c r="L43">
        <f t="shared" si="5"/>
        <v>441</v>
      </c>
    </row>
    <row r="44" spans="1:12">
      <c r="A44" t="s">
        <v>155</v>
      </c>
      <c r="C44" s="1" t="s">
        <v>154</v>
      </c>
      <c r="D44" s="1">
        <f>_xlfn.XLOOKUP(C44,'rank lookup'!$A$1:$A$21,'rank lookup'!$B$1:$B$21,,0)</f>
        <v>20</v>
      </c>
      <c r="E44" s="19">
        <v>178</v>
      </c>
      <c r="F44" s="19">
        <v>135</v>
      </c>
      <c r="G44" s="5">
        <f t="shared" si="0"/>
        <v>42.608256533266008</v>
      </c>
      <c r="H44" s="4">
        <f t="shared" si="1"/>
        <v>70.078740157480311</v>
      </c>
      <c r="I44">
        <f t="shared" si="2"/>
        <v>5</v>
      </c>
      <c r="J44">
        <f t="shared" si="3"/>
        <v>10.1</v>
      </c>
      <c r="K44" t="str">
        <f t="shared" si="4"/>
        <v>5' 10.1"</v>
      </c>
      <c r="L44">
        <f t="shared" si="5"/>
        <v>298</v>
      </c>
    </row>
    <row r="45" spans="1:12">
      <c r="A45" t="s">
        <v>153</v>
      </c>
      <c r="C45" s="1" t="s">
        <v>154</v>
      </c>
      <c r="D45" s="1">
        <f>_xlfn.XLOOKUP(C45,'rank lookup'!$A$1:$A$21,'rank lookup'!$B$1:$B$21,,0)</f>
        <v>20</v>
      </c>
      <c r="E45" s="19">
        <v>190</v>
      </c>
      <c r="F45" s="19">
        <v>197</v>
      </c>
      <c r="G45" s="5">
        <f t="shared" si="0"/>
        <v>54.57063711911357</v>
      </c>
      <c r="H45" s="4">
        <f t="shared" si="1"/>
        <v>74.803149606299215</v>
      </c>
      <c r="I45">
        <f t="shared" si="2"/>
        <v>6</v>
      </c>
      <c r="J45">
        <f t="shared" si="3"/>
        <v>2.8</v>
      </c>
      <c r="K45" t="str">
        <f t="shared" si="4"/>
        <v>6' 2.8"</v>
      </c>
      <c r="L45">
        <f t="shared" si="5"/>
        <v>434</v>
      </c>
    </row>
  </sheetData>
  <autoFilter ref="A3:L38" xr:uid="{7067DD38-AD06-4250-9520-A2F29B57D9C0}">
    <sortState xmlns:xlrd2="http://schemas.microsoft.com/office/spreadsheetml/2017/richdata2" ref="A4:L45">
      <sortCondition ref="D3:D38"/>
    </sortState>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AD93C-DC55-4D4D-B302-DCBC1ADAA0BE}">
  <dimension ref="A1:AD58"/>
  <sheetViews>
    <sheetView zoomScaleNormal="100" workbookViewId="0">
      <pane xSplit="1" ySplit="3" topLeftCell="B4" activePane="bottomRight" state="frozen"/>
      <selection pane="topRight" activeCell="B1" sqref="B1"/>
      <selection pane="bottomLeft" activeCell="A4" sqref="A4"/>
      <selection pane="bottomRight" activeCell="K57" sqref="K57"/>
    </sheetView>
  </sheetViews>
  <sheetFormatPr defaultRowHeight="14.5" outlineLevelCol="1"/>
  <cols>
    <col min="1" max="1" width="21.1796875" customWidth="1"/>
    <col min="2" max="6" width="21.1796875" hidden="1" customWidth="1" outlineLevel="1"/>
    <col min="7" max="7" width="21.1796875" customWidth="1" collapsed="1"/>
    <col min="8" max="10" width="21.1796875" customWidth="1"/>
    <col min="13" max="13" width="11.26953125" bestFit="1" customWidth="1"/>
    <col min="14" max="14" width="8.7265625" style="4"/>
    <col min="21" max="21" width="9.54296875" customWidth="1"/>
  </cols>
  <sheetData>
    <row r="1" spans="1:30">
      <c r="C1" t="s">
        <v>174</v>
      </c>
      <c r="K1" t="s">
        <v>247</v>
      </c>
    </row>
    <row r="2" spans="1:30">
      <c r="C2" s="17" t="s">
        <v>162</v>
      </c>
      <c r="D2" s="17"/>
      <c r="E2" s="17"/>
      <c r="F2" s="17"/>
      <c r="G2" s="17"/>
      <c r="H2" s="17"/>
      <c r="K2" s="17" t="s">
        <v>134</v>
      </c>
      <c r="S2">
        <f>MAX(S4:S45)</f>
        <v>41</v>
      </c>
      <c r="T2">
        <f>MAX(T4:T45)</f>
        <v>42</v>
      </c>
      <c r="U2">
        <f>MAX(U4:U45)</f>
        <v>42</v>
      </c>
    </row>
    <row r="3" spans="1:30">
      <c r="A3" t="s">
        <v>3</v>
      </c>
      <c r="B3" t="s">
        <v>11</v>
      </c>
      <c r="C3" t="s">
        <v>131</v>
      </c>
      <c r="D3" t="s">
        <v>163</v>
      </c>
      <c r="E3" t="s">
        <v>175</v>
      </c>
      <c r="F3" t="s">
        <v>185</v>
      </c>
      <c r="G3" t="s">
        <v>230</v>
      </c>
      <c r="H3" t="s">
        <v>237</v>
      </c>
      <c r="I3" t="s">
        <v>177</v>
      </c>
      <c r="J3" t="s">
        <v>238</v>
      </c>
      <c r="K3" t="s">
        <v>5</v>
      </c>
      <c r="L3" t="s">
        <v>4</v>
      </c>
      <c r="M3" t="s">
        <v>26</v>
      </c>
      <c r="N3" s="4" t="s">
        <v>6</v>
      </c>
      <c r="O3" t="s">
        <v>7</v>
      </c>
      <c r="P3" t="s">
        <v>8</v>
      </c>
      <c r="Q3" t="s">
        <v>9</v>
      </c>
      <c r="R3" t="s">
        <v>10</v>
      </c>
      <c r="S3" t="s">
        <v>171</v>
      </c>
      <c r="T3" t="s">
        <v>172</v>
      </c>
      <c r="U3" t="s">
        <v>173</v>
      </c>
      <c r="W3" t="s">
        <v>5</v>
      </c>
      <c r="X3" t="s">
        <v>4</v>
      </c>
      <c r="Y3" t="s">
        <v>26</v>
      </c>
      <c r="Z3" s="4" t="s">
        <v>6</v>
      </c>
      <c r="AA3" t="s">
        <v>7</v>
      </c>
      <c r="AB3" t="s">
        <v>8</v>
      </c>
      <c r="AC3" t="s">
        <v>9</v>
      </c>
      <c r="AD3" t="s">
        <v>10</v>
      </c>
    </row>
    <row r="4" spans="1:30">
      <c r="A4" s="1" t="s">
        <v>86</v>
      </c>
      <c r="B4" s="1">
        <v>8</v>
      </c>
      <c r="C4" s="1" t="s">
        <v>14</v>
      </c>
      <c r="D4" s="1" t="s">
        <v>14</v>
      </c>
      <c r="E4" s="1" t="s">
        <v>14</v>
      </c>
      <c r="F4" s="1" t="s">
        <v>14</v>
      </c>
      <c r="G4" s="1" t="s">
        <v>14</v>
      </c>
      <c r="H4" s="1" t="s">
        <v>14</v>
      </c>
      <c r="I4" s="1">
        <f>_xlfn.XLOOKUP(H4,'rank lookup'!$A$1:$A$21,'rank lookup'!$B$1:$B$21,,0)</f>
        <v>1</v>
      </c>
      <c r="J4" s="1"/>
      <c r="K4" s="26">
        <v>192</v>
      </c>
      <c r="L4" s="26">
        <v>174</v>
      </c>
      <c r="M4" s="5">
        <f t="shared" ref="M4:M35" si="0">L4/(K4*K4)*10000</f>
        <v>47.200520833333329</v>
      </c>
      <c r="N4" s="4">
        <f t="shared" ref="N4:N35" si="1">CONVERT(K4,"cm","in")</f>
        <v>75.59055118110237</v>
      </c>
      <c r="O4">
        <f t="shared" ref="O4:O35" si="2">_xlfn.FLOOR.MATH(N4/12)</f>
        <v>6</v>
      </c>
      <c r="P4">
        <f t="shared" ref="P4:P35" si="3">ROUND(N4-O4*12,1)</f>
        <v>3.6</v>
      </c>
      <c r="Q4" t="str">
        <f t="shared" ref="Q4:Q35" si="4">O4&amp;"' "&amp;P4&amp;""""</f>
        <v>6' 3.6"</v>
      </c>
      <c r="R4">
        <f t="shared" ref="R4:R35" si="5">ROUND(CONVERT(L4,"kg","lbm"),0)</f>
        <v>384</v>
      </c>
      <c r="S4">
        <f>_xlfn.RANK.EQ(K4,K$4:K$45)</f>
        <v>3</v>
      </c>
      <c r="T4">
        <f>_xlfn.RANK.EQ(L4,L$4:L$45)</f>
        <v>11</v>
      </c>
      <c r="U4">
        <f>_xlfn.RANK.EQ(M4,M$4:M$45)</f>
        <v>22</v>
      </c>
      <c r="W4">
        <f>K22-K16</f>
        <v>33</v>
      </c>
      <c r="X4">
        <f t="shared" ref="X4:Z4" si="6">L22-L16</f>
        <v>69</v>
      </c>
      <c r="Y4">
        <f t="shared" si="6"/>
        <v>4.7837302200103196</v>
      </c>
      <c r="Z4">
        <f t="shared" si="6"/>
        <v>12.99212598425197</v>
      </c>
      <c r="AA4">
        <f t="shared" ref="AA4" si="7">O22-O16</f>
        <v>1</v>
      </c>
      <c r="AB4">
        <f t="shared" ref="AB4" si="8">P22-P16</f>
        <v>1.0000000000000009</v>
      </c>
      <c r="AC4" t="e">
        <f t="shared" ref="AC4" si="9">Q22-Q16</f>
        <v>#VALUE!</v>
      </c>
      <c r="AD4">
        <f t="shared" ref="AD4" si="10">R22-R16</f>
        <v>152</v>
      </c>
    </row>
    <row r="5" spans="1:30">
      <c r="A5" s="1" t="s">
        <v>123</v>
      </c>
      <c r="B5" s="1">
        <v>2</v>
      </c>
      <c r="C5" s="1" t="s">
        <v>39</v>
      </c>
      <c r="D5" s="1" t="s">
        <v>39</v>
      </c>
      <c r="E5" s="1" t="s">
        <v>39</v>
      </c>
      <c r="F5" s="1" t="s">
        <v>39</v>
      </c>
      <c r="G5" s="1" t="s">
        <v>39</v>
      </c>
      <c r="H5" s="1" t="s">
        <v>39</v>
      </c>
      <c r="I5" s="1">
        <f>_xlfn.XLOOKUP(H5,'rank lookup'!$A$1:$A$21,'rank lookup'!$B$1:$B$21,,0)</f>
        <v>2</v>
      </c>
      <c r="J5" s="1"/>
      <c r="K5" s="26">
        <v>175</v>
      </c>
      <c r="L5" s="26">
        <v>165</v>
      </c>
      <c r="M5" s="5">
        <f t="shared" si="0"/>
        <v>53.877551020408163</v>
      </c>
      <c r="N5" s="4">
        <f t="shared" si="1"/>
        <v>68.897637795275585</v>
      </c>
      <c r="O5">
        <f t="shared" si="2"/>
        <v>5</v>
      </c>
      <c r="P5">
        <f t="shared" si="3"/>
        <v>8.9</v>
      </c>
      <c r="Q5" t="str">
        <f t="shared" si="4"/>
        <v>5' 8.9"</v>
      </c>
      <c r="R5">
        <f t="shared" si="5"/>
        <v>364</v>
      </c>
      <c r="S5">
        <f t="shared" ref="S5:U45" si="11">_xlfn.RANK.EQ(K5,K$4:K$45)</f>
        <v>38</v>
      </c>
      <c r="T5">
        <f t="shared" si="11"/>
        <v>18</v>
      </c>
      <c r="U5">
        <f t="shared" si="11"/>
        <v>4</v>
      </c>
    </row>
    <row r="6" spans="1:30" ht="25">
      <c r="A6" s="1" t="s">
        <v>239</v>
      </c>
      <c r="B6" s="1"/>
      <c r="C6" s="1" t="s">
        <v>42</v>
      </c>
      <c r="D6" s="1" t="s">
        <v>42</v>
      </c>
      <c r="E6" s="1" t="s">
        <v>42</v>
      </c>
      <c r="F6" s="1" t="s">
        <v>31</v>
      </c>
      <c r="G6" s="1" t="s">
        <v>31</v>
      </c>
      <c r="H6" s="1" t="s">
        <v>39</v>
      </c>
      <c r="I6" s="1">
        <f>_xlfn.XLOOKUP(H6,'rank lookup'!$A$1:$A$21,'rank lookup'!$B$1:$B$21,,0)</f>
        <v>2</v>
      </c>
      <c r="J6" s="1" t="s">
        <v>240</v>
      </c>
      <c r="K6" s="26">
        <v>186</v>
      </c>
      <c r="L6" s="26">
        <v>143</v>
      </c>
      <c r="M6" s="5">
        <f t="shared" si="0"/>
        <v>41.334258295756733</v>
      </c>
      <c r="N6" s="4">
        <f t="shared" si="1"/>
        <v>73.228346456692918</v>
      </c>
      <c r="O6">
        <f t="shared" si="2"/>
        <v>6</v>
      </c>
      <c r="P6">
        <f t="shared" si="3"/>
        <v>1.2</v>
      </c>
      <c r="Q6" t="str">
        <f t="shared" si="4"/>
        <v>6' 1.2"</v>
      </c>
      <c r="R6">
        <f t="shared" si="5"/>
        <v>315</v>
      </c>
      <c r="S6">
        <f t="shared" si="11"/>
        <v>16</v>
      </c>
      <c r="T6">
        <f t="shared" si="11"/>
        <v>33</v>
      </c>
      <c r="U6">
        <f t="shared" si="11"/>
        <v>38</v>
      </c>
    </row>
    <row r="7" spans="1:30">
      <c r="A7" s="1" t="s">
        <v>95</v>
      </c>
      <c r="B7" s="1"/>
      <c r="C7" s="1" t="s">
        <v>31</v>
      </c>
      <c r="D7" s="1" t="s">
        <v>31</v>
      </c>
      <c r="E7" s="1" t="s">
        <v>31</v>
      </c>
      <c r="F7" s="1" t="s">
        <v>31</v>
      </c>
      <c r="G7" s="1" t="s">
        <v>31</v>
      </c>
      <c r="H7" s="1" t="s">
        <v>31</v>
      </c>
      <c r="I7" s="1">
        <f>_xlfn.XLOOKUP(H7,'rank lookup'!$A$1:$A$21,'rank lookup'!$B$1:$B$21,,0)</f>
        <v>3</v>
      </c>
      <c r="J7" s="1"/>
      <c r="K7" s="26">
        <v>188</v>
      </c>
      <c r="L7" s="26">
        <v>142</v>
      </c>
      <c r="M7" s="5">
        <f t="shared" si="0"/>
        <v>40.176550475328199</v>
      </c>
      <c r="N7" s="4">
        <f t="shared" si="1"/>
        <v>74.015748031496059</v>
      </c>
      <c r="O7">
        <f t="shared" si="2"/>
        <v>6</v>
      </c>
      <c r="P7">
        <f t="shared" si="3"/>
        <v>2</v>
      </c>
      <c r="Q7" t="str">
        <f t="shared" si="4"/>
        <v>6' 2"</v>
      </c>
      <c r="R7">
        <f t="shared" si="5"/>
        <v>313</v>
      </c>
      <c r="S7">
        <f t="shared" si="11"/>
        <v>11</v>
      </c>
      <c r="T7">
        <f t="shared" si="11"/>
        <v>35</v>
      </c>
      <c r="U7">
        <f t="shared" si="11"/>
        <v>40</v>
      </c>
    </row>
    <row r="8" spans="1:30">
      <c r="A8" s="1" t="s">
        <v>100</v>
      </c>
      <c r="B8" s="1"/>
      <c r="C8" s="1" t="s">
        <v>141</v>
      </c>
      <c r="D8" s="1" t="s">
        <v>139</v>
      </c>
      <c r="E8" s="1" t="s">
        <v>42</v>
      </c>
      <c r="F8" s="1" t="s">
        <v>42</v>
      </c>
      <c r="G8" s="1" t="s">
        <v>31</v>
      </c>
      <c r="H8" s="1" t="s">
        <v>31</v>
      </c>
      <c r="I8" s="1">
        <f>_xlfn.XLOOKUP(H8,'rank lookup'!$A$1:$A$21,'rank lookup'!$B$1:$B$21,,0)</f>
        <v>3</v>
      </c>
      <c r="J8" s="1"/>
      <c r="K8" s="26">
        <v>187</v>
      </c>
      <c r="L8" s="26">
        <v>147</v>
      </c>
      <c r="M8" s="5">
        <f t="shared" si="0"/>
        <v>42.03723297778032</v>
      </c>
      <c r="N8" s="4">
        <f t="shared" si="1"/>
        <v>73.622047244094489</v>
      </c>
      <c r="O8">
        <f t="shared" si="2"/>
        <v>6</v>
      </c>
      <c r="P8">
        <f t="shared" si="3"/>
        <v>1.6</v>
      </c>
      <c r="Q8" t="str">
        <f t="shared" si="4"/>
        <v>6' 1.6"</v>
      </c>
      <c r="R8">
        <f t="shared" si="5"/>
        <v>324</v>
      </c>
      <c r="S8">
        <f t="shared" si="11"/>
        <v>15</v>
      </c>
      <c r="T8">
        <f t="shared" si="11"/>
        <v>32</v>
      </c>
      <c r="U8">
        <f t="shared" si="11"/>
        <v>37</v>
      </c>
    </row>
    <row r="9" spans="1:30">
      <c r="A9" s="1" t="s">
        <v>112</v>
      </c>
      <c r="B9" s="1">
        <v>1</v>
      </c>
      <c r="C9" s="1" t="s">
        <v>31</v>
      </c>
      <c r="D9" s="1" t="s">
        <v>42</v>
      </c>
      <c r="E9" s="1" t="s">
        <v>132</v>
      </c>
      <c r="F9" s="1" t="s">
        <v>42</v>
      </c>
      <c r="G9" s="1" t="s">
        <v>31</v>
      </c>
      <c r="H9" s="1" t="s">
        <v>31</v>
      </c>
      <c r="I9" s="1">
        <f>_xlfn.XLOOKUP(H9,'rank lookup'!$A$1:$A$21,'rank lookup'!$B$1:$B$21,,0)</f>
        <v>3</v>
      </c>
      <c r="J9" s="1"/>
      <c r="K9" s="26">
        <v>182</v>
      </c>
      <c r="L9" s="26">
        <v>164</v>
      </c>
      <c r="M9" s="5">
        <f t="shared" si="0"/>
        <v>49.510928631807751</v>
      </c>
      <c r="N9" s="4">
        <f t="shared" si="1"/>
        <v>71.653543307086608</v>
      </c>
      <c r="O9">
        <f t="shared" si="2"/>
        <v>5</v>
      </c>
      <c r="P9">
        <f t="shared" si="3"/>
        <v>11.7</v>
      </c>
      <c r="Q9" t="str">
        <f t="shared" si="4"/>
        <v>5' 11.7"</v>
      </c>
      <c r="R9">
        <f t="shared" si="5"/>
        <v>362</v>
      </c>
      <c r="S9">
        <f t="shared" si="11"/>
        <v>28</v>
      </c>
      <c r="T9">
        <f t="shared" si="11"/>
        <v>20</v>
      </c>
      <c r="U9">
        <f t="shared" si="11"/>
        <v>13</v>
      </c>
    </row>
    <row r="10" spans="1:30">
      <c r="A10" s="1" t="s">
        <v>94</v>
      </c>
      <c r="B10" s="1"/>
      <c r="C10" s="1" t="s">
        <v>136</v>
      </c>
      <c r="D10" s="1" t="s">
        <v>132</v>
      </c>
      <c r="E10" s="1" t="s">
        <v>42</v>
      </c>
      <c r="F10" s="1" t="s">
        <v>42</v>
      </c>
      <c r="G10" s="1" t="s">
        <v>42</v>
      </c>
      <c r="H10" s="1" t="s">
        <v>42</v>
      </c>
      <c r="I10" s="1">
        <f>_xlfn.XLOOKUP(H10,'rank lookup'!$A$1:$A$21,'rank lookup'!$B$1:$B$21,,0)</f>
        <v>4</v>
      </c>
      <c r="J10" s="1"/>
      <c r="K10" s="26">
        <v>189</v>
      </c>
      <c r="L10" s="26">
        <v>176</v>
      </c>
      <c r="M10" s="5">
        <f t="shared" si="0"/>
        <v>49.270737101424935</v>
      </c>
      <c r="N10" s="4">
        <f t="shared" si="1"/>
        <v>74.409448818897644</v>
      </c>
      <c r="O10">
        <f t="shared" si="2"/>
        <v>6</v>
      </c>
      <c r="P10">
        <f t="shared" si="3"/>
        <v>2.4</v>
      </c>
      <c r="Q10" t="str">
        <f t="shared" si="4"/>
        <v>6' 2.4"</v>
      </c>
      <c r="R10">
        <f t="shared" si="5"/>
        <v>388</v>
      </c>
      <c r="S10">
        <f t="shared" si="11"/>
        <v>8</v>
      </c>
      <c r="T10">
        <f t="shared" si="11"/>
        <v>10</v>
      </c>
      <c r="U10">
        <f t="shared" si="11"/>
        <v>16</v>
      </c>
    </row>
    <row r="11" spans="1:30">
      <c r="A11" s="1" t="s">
        <v>93</v>
      </c>
      <c r="B11" s="1">
        <v>1</v>
      </c>
      <c r="C11" s="1" t="s">
        <v>42</v>
      </c>
      <c r="D11" s="1" t="s">
        <v>143</v>
      </c>
      <c r="E11" s="1" t="s">
        <v>137</v>
      </c>
      <c r="F11" s="1" t="s">
        <v>136</v>
      </c>
      <c r="G11" s="1" t="s">
        <v>132</v>
      </c>
      <c r="H11" s="1" t="s">
        <v>42</v>
      </c>
      <c r="I11" s="1">
        <f>_xlfn.XLOOKUP(H11,'rank lookup'!$A$1:$A$21,'rank lookup'!$B$1:$B$21,,0)</f>
        <v>4</v>
      </c>
      <c r="J11" s="1"/>
      <c r="K11" s="26">
        <v>186</v>
      </c>
      <c r="L11" s="26">
        <v>158</v>
      </c>
      <c r="M11" s="5">
        <f t="shared" si="0"/>
        <v>45.670019655451505</v>
      </c>
      <c r="N11" s="4">
        <f t="shared" si="1"/>
        <v>73.228346456692918</v>
      </c>
      <c r="O11">
        <f t="shared" si="2"/>
        <v>6</v>
      </c>
      <c r="P11">
        <f t="shared" si="3"/>
        <v>1.2</v>
      </c>
      <c r="Q11" t="str">
        <f t="shared" si="4"/>
        <v>6' 1.2"</v>
      </c>
      <c r="R11">
        <f t="shared" si="5"/>
        <v>348</v>
      </c>
      <c r="S11">
        <f t="shared" si="11"/>
        <v>16</v>
      </c>
      <c r="T11">
        <f t="shared" si="11"/>
        <v>24</v>
      </c>
      <c r="U11">
        <f t="shared" si="11"/>
        <v>26</v>
      </c>
    </row>
    <row r="12" spans="1:30">
      <c r="A12" s="1" t="s">
        <v>124</v>
      </c>
      <c r="B12" s="1"/>
      <c r="C12" s="1" t="s">
        <v>132</v>
      </c>
      <c r="D12" s="1" t="s">
        <v>42</v>
      </c>
      <c r="E12" s="1" t="s">
        <v>132</v>
      </c>
      <c r="F12" s="1" t="s">
        <v>42</v>
      </c>
      <c r="G12" s="1" t="s">
        <v>137</v>
      </c>
      <c r="H12" s="1" t="s">
        <v>132</v>
      </c>
      <c r="I12" s="1">
        <f>_xlfn.XLOOKUP(H12,'rank lookup'!$A$1:$A$21,'rank lookup'!$B$1:$B$21,,0)</f>
        <v>5</v>
      </c>
      <c r="J12" s="1"/>
      <c r="K12" s="26">
        <v>174</v>
      </c>
      <c r="L12" s="26">
        <v>135</v>
      </c>
      <c r="M12" s="5">
        <f t="shared" si="0"/>
        <v>44.589774078478001</v>
      </c>
      <c r="N12" s="4">
        <f t="shared" si="1"/>
        <v>68.503937007874015</v>
      </c>
      <c r="O12">
        <f t="shared" si="2"/>
        <v>5</v>
      </c>
      <c r="P12">
        <f t="shared" si="3"/>
        <v>8.5</v>
      </c>
      <c r="Q12" t="str">
        <f t="shared" si="4"/>
        <v>5' 8.5"</v>
      </c>
      <c r="R12">
        <f t="shared" si="5"/>
        <v>298</v>
      </c>
      <c r="S12">
        <f t="shared" si="11"/>
        <v>40</v>
      </c>
      <c r="T12">
        <f t="shared" si="11"/>
        <v>38</v>
      </c>
      <c r="U12">
        <f t="shared" si="11"/>
        <v>27</v>
      </c>
    </row>
    <row r="13" spans="1:30">
      <c r="A13" s="1" t="s">
        <v>138</v>
      </c>
      <c r="C13" s="1" t="s">
        <v>139</v>
      </c>
      <c r="D13" s="1" t="s">
        <v>141</v>
      </c>
      <c r="E13" s="1" t="s">
        <v>140</v>
      </c>
      <c r="F13" s="1" t="s">
        <v>137</v>
      </c>
      <c r="G13" s="1" t="s">
        <v>139</v>
      </c>
      <c r="H13" s="1" t="s">
        <v>132</v>
      </c>
      <c r="I13" s="1">
        <f>_xlfn.XLOOKUP(H13,'rank lookup'!$A$1:$A$21,'rank lookup'!$B$1:$B$21,,0)</f>
        <v>5</v>
      </c>
      <c r="J13" s="1"/>
      <c r="K13" s="26">
        <v>185</v>
      </c>
      <c r="L13" s="26">
        <v>180</v>
      </c>
      <c r="M13" s="5">
        <f t="shared" si="0"/>
        <v>52.593133674214762</v>
      </c>
      <c r="N13" s="4">
        <f t="shared" si="1"/>
        <v>72.834645669291348</v>
      </c>
      <c r="O13">
        <f t="shared" si="2"/>
        <v>6</v>
      </c>
      <c r="P13">
        <f t="shared" si="3"/>
        <v>0.8</v>
      </c>
      <c r="Q13" t="str">
        <f t="shared" si="4"/>
        <v>6' 0.8"</v>
      </c>
      <c r="R13">
        <f t="shared" si="5"/>
        <v>397</v>
      </c>
      <c r="S13">
        <f t="shared" si="11"/>
        <v>19</v>
      </c>
      <c r="T13">
        <f t="shared" si="11"/>
        <v>8</v>
      </c>
      <c r="U13">
        <f t="shared" si="11"/>
        <v>7</v>
      </c>
    </row>
    <row r="14" spans="1:30">
      <c r="A14" s="1" t="s">
        <v>109</v>
      </c>
      <c r="B14" s="1">
        <v>1</v>
      </c>
      <c r="C14" s="1" t="s">
        <v>39</v>
      </c>
      <c r="D14" s="1" t="s">
        <v>39</v>
      </c>
      <c r="E14" s="1" t="s">
        <v>31</v>
      </c>
      <c r="F14" s="1" t="s">
        <v>132</v>
      </c>
      <c r="G14" s="1" t="s">
        <v>42</v>
      </c>
      <c r="H14" s="1" t="s">
        <v>136</v>
      </c>
      <c r="I14" s="1">
        <f>_xlfn.XLOOKUP(H14,'rank lookup'!$A$1:$A$21,'rank lookup'!$B$1:$B$21,,0)</f>
        <v>6</v>
      </c>
      <c r="J14" s="1"/>
      <c r="K14" s="26">
        <v>184</v>
      </c>
      <c r="L14" s="26">
        <v>161</v>
      </c>
      <c r="M14" s="5">
        <f t="shared" si="0"/>
        <v>47.554347826086961</v>
      </c>
      <c r="N14" s="4">
        <f t="shared" si="1"/>
        <v>72.440944881889763</v>
      </c>
      <c r="O14">
        <f t="shared" si="2"/>
        <v>6</v>
      </c>
      <c r="P14">
        <f t="shared" si="3"/>
        <v>0.4</v>
      </c>
      <c r="Q14" t="str">
        <f t="shared" si="4"/>
        <v>6' 0.4"</v>
      </c>
      <c r="R14">
        <f t="shared" si="5"/>
        <v>355</v>
      </c>
      <c r="S14">
        <f t="shared" si="11"/>
        <v>22</v>
      </c>
      <c r="T14">
        <f t="shared" si="11"/>
        <v>22</v>
      </c>
      <c r="U14">
        <f t="shared" si="11"/>
        <v>20</v>
      </c>
    </row>
    <row r="15" spans="1:30">
      <c r="A15" s="1" t="s">
        <v>116</v>
      </c>
      <c r="B15" s="1">
        <v>2</v>
      </c>
      <c r="C15" s="1" t="s">
        <v>39</v>
      </c>
      <c r="D15" s="1" t="s">
        <v>31</v>
      </c>
      <c r="E15" s="1" t="s">
        <v>136</v>
      </c>
      <c r="F15" s="1" t="s">
        <v>137</v>
      </c>
      <c r="G15" s="1" t="s">
        <v>141</v>
      </c>
      <c r="H15" s="1" t="s">
        <v>136</v>
      </c>
      <c r="I15" s="1">
        <f>_xlfn.XLOOKUP(H15,'rank lookup'!$A$1:$A$21,'rank lookup'!$B$1:$B$21,,0)</f>
        <v>6</v>
      </c>
      <c r="J15" s="1"/>
      <c r="K15" s="26">
        <v>179</v>
      </c>
      <c r="L15" s="26">
        <v>170</v>
      </c>
      <c r="M15" s="5">
        <f t="shared" si="0"/>
        <v>53.057020692238069</v>
      </c>
      <c r="N15" s="4">
        <f t="shared" si="1"/>
        <v>70.472440944881896</v>
      </c>
      <c r="O15">
        <f t="shared" si="2"/>
        <v>5</v>
      </c>
      <c r="P15">
        <f t="shared" si="3"/>
        <v>10.5</v>
      </c>
      <c r="Q15" t="str">
        <f t="shared" si="4"/>
        <v>5' 10.5"</v>
      </c>
      <c r="R15">
        <f t="shared" si="5"/>
        <v>375</v>
      </c>
      <c r="S15">
        <f t="shared" si="11"/>
        <v>33</v>
      </c>
      <c r="T15">
        <f t="shared" si="11"/>
        <v>15</v>
      </c>
      <c r="U15">
        <f t="shared" si="11"/>
        <v>5</v>
      </c>
    </row>
    <row r="16" spans="1:30">
      <c r="A16" s="1" t="s">
        <v>133</v>
      </c>
      <c r="C16" t="s">
        <v>132</v>
      </c>
      <c r="D16" s="1" t="s">
        <v>137</v>
      </c>
      <c r="E16" s="1" t="s">
        <v>137</v>
      </c>
      <c r="F16" s="1" t="s">
        <v>140</v>
      </c>
      <c r="G16" s="1" t="s">
        <v>132</v>
      </c>
      <c r="H16" s="1" t="s">
        <v>137</v>
      </c>
      <c r="I16" s="1">
        <f>_xlfn.XLOOKUP(H16,'rank lookup'!$A$1:$A$21,'rank lookup'!$B$1:$B$21,,0)</f>
        <v>7</v>
      </c>
      <c r="J16" s="1"/>
      <c r="K16" s="23">
        <v>171</v>
      </c>
      <c r="L16" s="23">
        <v>116</v>
      </c>
      <c r="M16" s="5">
        <f t="shared" si="0"/>
        <v>39.670325912246504</v>
      </c>
      <c r="N16" s="4">
        <f t="shared" si="1"/>
        <v>67.322834645669289</v>
      </c>
      <c r="O16">
        <f t="shared" si="2"/>
        <v>5</v>
      </c>
      <c r="P16">
        <f t="shared" si="3"/>
        <v>7.3</v>
      </c>
      <c r="Q16" t="str">
        <f t="shared" si="4"/>
        <v>5' 7.3"</v>
      </c>
      <c r="R16">
        <f t="shared" si="5"/>
        <v>256</v>
      </c>
      <c r="S16">
        <f t="shared" si="11"/>
        <v>41</v>
      </c>
      <c r="T16">
        <f t="shared" si="11"/>
        <v>42</v>
      </c>
      <c r="U16">
        <f t="shared" si="11"/>
        <v>42</v>
      </c>
    </row>
    <row r="17" spans="1:21">
      <c r="A17" s="1" t="s">
        <v>117</v>
      </c>
      <c r="B17" s="1"/>
      <c r="C17" s="1" t="s">
        <v>136</v>
      </c>
      <c r="D17" s="1" t="s">
        <v>136</v>
      </c>
      <c r="E17" s="1" t="s">
        <v>42</v>
      </c>
      <c r="F17" s="1" t="s">
        <v>139</v>
      </c>
      <c r="G17" s="1" t="s">
        <v>141</v>
      </c>
      <c r="H17" s="1" t="s">
        <v>137</v>
      </c>
      <c r="I17" s="1">
        <f>_xlfn.XLOOKUP(H17,'rank lookup'!$A$1:$A$21,'rank lookup'!$B$1:$B$21,,0)</f>
        <v>7</v>
      </c>
      <c r="J17" s="1"/>
      <c r="K17" s="23">
        <v>180</v>
      </c>
      <c r="L17" s="23">
        <v>154</v>
      </c>
      <c r="M17" s="5">
        <f t="shared" si="0"/>
        <v>47.530864197530867</v>
      </c>
      <c r="N17" s="4">
        <f t="shared" si="1"/>
        <v>70.866141732283467</v>
      </c>
      <c r="O17">
        <f t="shared" si="2"/>
        <v>5</v>
      </c>
      <c r="P17">
        <f t="shared" si="3"/>
        <v>10.9</v>
      </c>
      <c r="Q17" t="str">
        <f t="shared" si="4"/>
        <v>5' 10.9"</v>
      </c>
      <c r="R17">
        <f t="shared" si="5"/>
        <v>340</v>
      </c>
      <c r="S17">
        <f t="shared" si="11"/>
        <v>32</v>
      </c>
      <c r="T17">
        <f t="shared" si="11"/>
        <v>28</v>
      </c>
      <c r="U17">
        <f t="shared" si="11"/>
        <v>21</v>
      </c>
    </row>
    <row r="18" spans="1:21">
      <c r="A18" s="1" t="s">
        <v>121</v>
      </c>
      <c r="B18" s="1"/>
      <c r="C18" s="1" t="s">
        <v>137</v>
      </c>
      <c r="D18" s="1" t="s">
        <v>137</v>
      </c>
      <c r="E18" s="1" t="s">
        <v>135</v>
      </c>
      <c r="F18" s="1" t="s">
        <v>142</v>
      </c>
      <c r="G18" s="1" t="s">
        <v>139</v>
      </c>
      <c r="H18" s="1" t="s">
        <v>139</v>
      </c>
      <c r="I18" s="1">
        <f>_xlfn.XLOOKUP(H18,'rank lookup'!$A$1:$A$21,'rank lookup'!$B$1:$B$21,,0)</f>
        <v>8</v>
      </c>
      <c r="J18" s="1"/>
      <c r="K18" s="23">
        <v>175</v>
      </c>
      <c r="L18" s="23">
        <v>143</v>
      </c>
      <c r="M18" s="5">
        <f t="shared" si="0"/>
        <v>46.693877551020407</v>
      </c>
      <c r="N18" s="4">
        <f t="shared" si="1"/>
        <v>68.897637795275585</v>
      </c>
      <c r="O18">
        <f t="shared" si="2"/>
        <v>5</v>
      </c>
      <c r="P18">
        <f t="shared" si="3"/>
        <v>8.9</v>
      </c>
      <c r="Q18" t="str">
        <f t="shared" si="4"/>
        <v>5' 8.9"</v>
      </c>
      <c r="R18">
        <f t="shared" si="5"/>
        <v>315</v>
      </c>
      <c r="S18">
        <f t="shared" si="11"/>
        <v>38</v>
      </c>
      <c r="T18">
        <f t="shared" si="11"/>
        <v>33</v>
      </c>
      <c r="U18">
        <f t="shared" si="11"/>
        <v>24</v>
      </c>
    </row>
    <row r="19" spans="1:21">
      <c r="A19" s="1" t="s">
        <v>231</v>
      </c>
      <c r="G19" t="s">
        <v>151</v>
      </c>
      <c r="H19" t="s">
        <v>139</v>
      </c>
      <c r="I19" s="1">
        <f>_xlfn.XLOOKUP(H19,'rank lookup'!$A$1:$A$21,'rank lookup'!$B$1:$B$21,,0)</f>
        <v>8</v>
      </c>
      <c r="K19" s="23">
        <v>189</v>
      </c>
      <c r="L19" s="23">
        <v>168</v>
      </c>
      <c r="M19" s="5">
        <f t="shared" si="0"/>
        <v>47.031158142269256</v>
      </c>
      <c r="N19" s="4">
        <f t="shared" si="1"/>
        <v>74.409448818897644</v>
      </c>
      <c r="O19">
        <f t="shared" si="2"/>
        <v>6</v>
      </c>
      <c r="P19">
        <f t="shared" si="3"/>
        <v>2.4</v>
      </c>
      <c r="Q19" t="str">
        <f t="shared" si="4"/>
        <v>6' 2.4"</v>
      </c>
      <c r="R19">
        <f t="shared" si="5"/>
        <v>370</v>
      </c>
      <c r="S19">
        <f t="shared" si="11"/>
        <v>8</v>
      </c>
      <c r="T19">
        <f t="shared" si="11"/>
        <v>17</v>
      </c>
      <c r="U19">
        <f t="shared" si="11"/>
        <v>23</v>
      </c>
    </row>
    <row r="20" spans="1:21">
      <c r="A20" s="1" t="s">
        <v>120</v>
      </c>
      <c r="B20" s="1"/>
      <c r="C20" s="1" t="s">
        <v>135</v>
      </c>
      <c r="D20" s="1" t="s">
        <v>147</v>
      </c>
      <c r="E20" s="1" t="s">
        <v>142</v>
      </c>
      <c r="F20" s="1" t="s">
        <v>139</v>
      </c>
      <c r="G20" s="1" t="s">
        <v>143</v>
      </c>
      <c r="H20" s="1" t="s">
        <v>140</v>
      </c>
      <c r="I20" s="1">
        <f>_xlfn.XLOOKUP(H20,'rank lookup'!$A$1:$A$21,'rank lookup'!$B$1:$B$21,,0)</f>
        <v>9</v>
      </c>
      <c r="J20" s="1"/>
      <c r="K20" s="23">
        <v>177</v>
      </c>
      <c r="L20" s="23">
        <v>165</v>
      </c>
      <c r="M20" s="5">
        <f t="shared" si="0"/>
        <v>52.666858182514609</v>
      </c>
      <c r="N20" s="4">
        <f t="shared" si="1"/>
        <v>69.685039370078741</v>
      </c>
      <c r="O20">
        <f t="shared" si="2"/>
        <v>5</v>
      </c>
      <c r="P20">
        <f t="shared" si="3"/>
        <v>9.6999999999999993</v>
      </c>
      <c r="Q20" t="str">
        <f t="shared" si="4"/>
        <v>5' 9.7"</v>
      </c>
      <c r="R20">
        <f t="shared" si="5"/>
        <v>364</v>
      </c>
      <c r="S20">
        <f t="shared" si="11"/>
        <v>34</v>
      </c>
      <c r="T20">
        <f t="shared" si="11"/>
        <v>18</v>
      </c>
      <c r="U20">
        <f t="shared" si="11"/>
        <v>6</v>
      </c>
    </row>
    <row r="21" spans="1:21">
      <c r="A21" t="s">
        <v>155</v>
      </c>
      <c r="C21" s="1" t="s">
        <v>154</v>
      </c>
      <c r="D21" s="1" t="s">
        <v>154</v>
      </c>
      <c r="E21" s="1" t="s">
        <v>145</v>
      </c>
      <c r="F21" s="1" t="s">
        <v>143</v>
      </c>
      <c r="G21" s="1" t="s">
        <v>143</v>
      </c>
      <c r="H21" s="1" t="s">
        <v>140</v>
      </c>
      <c r="I21" s="1">
        <f>_xlfn.XLOOKUP(H21,'rank lookup'!$A$1:$A$21,'rank lookup'!$B$1:$B$21,,0)</f>
        <v>9</v>
      </c>
      <c r="J21" s="1"/>
      <c r="K21" s="23">
        <v>177</v>
      </c>
      <c r="L21" s="23">
        <v>135</v>
      </c>
      <c r="M21" s="5">
        <f t="shared" si="0"/>
        <v>43.091065785693765</v>
      </c>
      <c r="N21" s="4">
        <f t="shared" si="1"/>
        <v>69.685039370078741</v>
      </c>
      <c r="O21">
        <f t="shared" si="2"/>
        <v>5</v>
      </c>
      <c r="P21">
        <f t="shared" si="3"/>
        <v>9.6999999999999993</v>
      </c>
      <c r="Q21" t="str">
        <f t="shared" si="4"/>
        <v>5' 9.7"</v>
      </c>
      <c r="R21">
        <f t="shared" si="5"/>
        <v>298</v>
      </c>
      <c r="S21">
        <f t="shared" si="11"/>
        <v>34</v>
      </c>
      <c r="T21">
        <f t="shared" si="11"/>
        <v>38</v>
      </c>
      <c r="U21">
        <f t="shared" si="11"/>
        <v>34</v>
      </c>
    </row>
    <row r="22" spans="1:21">
      <c r="A22" s="1" t="s">
        <v>191</v>
      </c>
      <c r="F22" t="s">
        <v>152</v>
      </c>
      <c r="G22" t="s">
        <v>147</v>
      </c>
      <c r="H22" t="s">
        <v>141</v>
      </c>
      <c r="I22" s="1">
        <f>_xlfn.XLOOKUP(H22,'rank lookup'!$A$1:$A$21,'rank lookup'!$B$1:$B$21,,0)</f>
        <v>10</v>
      </c>
      <c r="J22" s="1"/>
      <c r="K22" s="23">
        <v>204</v>
      </c>
      <c r="L22" s="23">
        <v>185</v>
      </c>
      <c r="M22" s="5">
        <f t="shared" si="0"/>
        <v>44.454056132256824</v>
      </c>
      <c r="N22" s="4">
        <f t="shared" si="1"/>
        <v>80.314960629921259</v>
      </c>
      <c r="O22">
        <f t="shared" si="2"/>
        <v>6</v>
      </c>
      <c r="P22">
        <f t="shared" si="3"/>
        <v>8.3000000000000007</v>
      </c>
      <c r="Q22" t="str">
        <f t="shared" si="4"/>
        <v>6' 8.3"</v>
      </c>
      <c r="R22">
        <f t="shared" si="5"/>
        <v>408</v>
      </c>
      <c r="S22">
        <f t="shared" si="11"/>
        <v>1</v>
      </c>
      <c r="T22">
        <f t="shared" si="11"/>
        <v>5</v>
      </c>
      <c r="U22">
        <f t="shared" si="11"/>
        <v>28</v>
      </c>
    </row>
    <row r="23" spans="1:21">
      <c r="A23" s="1" t="s">
        <v>88</v>
      </c>
      <c r="B23" s="1"/>
      <c r="C23" s="1" t="s">
        <v>150</v>
      </c>
      <c r="D23" s="1" t="s">
        <v>150</v>
      </c>
      <c r="E23" s="1" t="s">
        <v>142</v>
      </c>
      <c r="F23" s="1" t="s">
        <v>152</v>
      </c>
      <c r="G23" s="1" t="s">
        <v>154</v>
      </c>
      <c r="H23" s="1" t="s">
        <v>141</v>
      </c>
      <c r="I23" s="1">
        <f>_xlfn.XLOOKUP(H23,'rank lookup'!$A$1:$A$21,'rank lookup'!$B$1:$B$21,,0)</f>
        <v>10</v>
      </c>
      <c r="J23" s="1"/>
      <c r="K23" s="23">
        <v>190</v>
      </c>
      <c r="L23" s="23">
        <v>179</v>
      </c>
      <c r="M23" s="5">
        <f t="shared" si="0"/>
        <v>49.584487534626035</v>
      </c>
      <c r="N23" s="4">
        <f t="shared" si="1"/>
        <v>74.803149606299215</v>
      </c>
      <c r="O23">
        <f t="shared" si="2"/>
        <v>6</v>
      </c>
      <c r="P23">
        <f t="shared" si="3"/>
        <v>2.8</v>
      </c>
      <c r="Q23" t="str">
        <f t="shared" si="4"/>
        <v>6' 2.8"</v>
      </c>
      <c r="R23">
        <f t="shared" si="5"/>
        <v>395</v>
      </c>
      <c r="S23">
        <f t="shared" si="11"/>
        <v>7</v>
      </c>
      <c r="T23">
        <f t="shared" si="11"/>
        <v>9</v>
      </c>
      <c r="U23">
        <f t="shared" si="11"/>
        <v>12</v>
      </c>
    </row>
    <row r="24" spans="1:21">
      <c r="A24" s="1" t="s">
        <v>96</v>
      </c>
      <c r="B24" s="1"/>
      <c r="C24" s="1" t="s">
        <v>139</v>
      </c>
      <c r="D24" s="1" t="s">
        <v>132</v>
      </c>
      <c r="E24" s="1" t="s">
        <v>31</v>
      </c>
      <c r="F24" s="1" t="s">
        <v>135</v>
      </c>
      <c r="G24" s="1" t="s">
        <v>136</v>
      </c>
      <c r="H24" s="1" t="s">
        <v>135</v>
      </c>
      <c r="I24" s="1">
        <f>_xlfn.XLOOKUP(H24,'rank lookup'!$A$1:$A$21,'rank lookup'!$B$1:$B$21,,0)</f>
        <v>11</v>
      </c>
      <c r="J24" s="1"/>
      <c r="K24" s="23">
        <v>188</v>
      </c>
      <c r="L24" s="23">
        <v>183</v>
      </c>
      <c r="M24" s="5">
        <f t="shared" si="0"/>
        <v>51.776822091444096</v>
      </c>
      <c r="N24" s="4">
        <f t="shared" si="1"/>
        <v>74.015748031496059</v>
      </c>
      <c r="O24">
        <f t="shared" si="2"/>
        <v>6</v>
      </c>
      <c r="P24">
        <f t="shared" si="3"/>
        <v>2</v>
      </c>
      <c r="Q24" t="str">
        <f t="shared" si="4"/>
        <v>6' 2"</v>
      </c>
      <c r="R24">
        <f t="shared" si="5"/>
        <v>403</v>
      </c>
      <c r="S24">
        <f t="shared" si="11"/>
        <v>11</v>
      </c>
      <c r="T24">
        <f t="shared" si="11"/>
        <v>6</v>
      </c>
      <c r="U24">
        <f t="shared" si="11"/>
        <v>8</v>
      </c>
    </row>
    <row r="25" spans="1:21">
      <c r="A25" s="1" t="s">
        <v>92</v>
      </c>
      <c r="B25" s="1">
        <v>2</v>
      </c>
      <c r="C25" s="1" t="s">
        <v>137</v>
      </c>
      <c r="D25" s="1" t="s">
        <v>42</v>
      </c>
      <c r="E25" s="1" t="s">
        <v>136</v>
      </c>
      <c r="F25" s="1" t="s">
        <v>132</v>
      </c>
      <c r="G25" s="1" t="s">
        <v>135</v>
      </c>
      <c r="H25" s="1" t="s">
        <v>135</v>
      </c>
      <c r="I25" s="1">
        <f>_xlfn.XLOOKUP(H25,'rank lookup'!$A$1:$A$21,'rank lookup'!$B$1:$B$21,,0)</f>
        <v>11</v>
      </c>
      <c r="J25" s="1"/>
      <c r="K25" s="23">
        <v>189</v>
      </c>
      <c r="L25" s="23">
        <v>174</v>
      </c>
      <c r="M25" s="5">
        <f t="shared" si="0"/>
        <v>48.710842361636011</v>
      </c>
      <c r="N25" s="4">
        <f t="shared" si="1"/>
        <v>74.409448818897644</v>
      </c>
      <c r="O25">
        <f t="shared" si="2"/>
        <v>6</v>
      </c>
      <c r="P25">
        <f t="shared" si="3"/>
        <v>2.4</v>
      </c>
      <c r="Q25" t="str">
        <f t="shared" si="4"/>
        <v>6' 2.4"</v>
      </c>
      <c r="R25">
        <f t="shared" si="5"/>
        <v>384</v>
      </c>
      <c r="S25">
        <f t="shared" si="11"/>
        <v>8</v>
      </c>
      <c r="T25">
        <f t="shared" si="11"/>
        <v>11</v>
      </c>
      <c r="U25">
        <f t="shared" si="11"/>
        <v>19</v>
      </c>
    </row>
    <row r="26" spans="1:21">
      <c r="A26" t="s">
        <v>144</v>
      </c>
      <c r="C26" s="1" t="s">
        <v>145</v>
      </c>
      <c r="D26" s="1" t="s">
        <v>140</v>
      </c>
      <c r="E26" s="1" t="s">
        <v>139</v>
      </c>
      <c r="F26" s="1" t="s">
        <v>145</v>
      </c>
      <c r="G26" s="1" t="s">
        <v>137</v>
      </c>
      <c r="H26" s="1" t="s">
        <v>142</v>
      </c>
      <c r="I26" s="1">
        <f>_xlfn.XLOOKUP(H26,'rank lookup'!$A$1:$A$21,'rank lookup'!$B$1:$B$21,,0)</f>
        <v>12</v>
      </c>
      <c r="J26" s="1"/>
      <c r="K26" s="23">
        <v>184</v>
      </c>
      <c r="L26" s="23">
        <v>149</v>
      </c>
      <c r="M26" s="5">
        <f t="shared" si="0"/>
        <v>44.009924385633276</v>
      </c>
      <c r="N26" s="4">
        <f t="shared" si="1"/>
        <v>72.440944881889763</v>
      </c>
      <c r="O26">
        <f t="shared" si="2"/>
        <v>6</v>
      </c>
      <c r="P26">
        <f t="shared" si="3"/>
        <v>0.4</v>
      </c>
      <c r="Q26" t="str">
        <f t="shared" si="4"/>
        <v>6' 0.4"</v>
      </c>
      <c r="R26">
        <f t="shared" si="5"/>
        <v>328</v>
      </c>
      <c r="S26">
        <f t="shared" si="11"/>
        <v>22</v>
      </c>
      <c r="T26">
        <f t="shared" si="11"/>
        <v>31</v>
      </c>
      <c r="U26">
        <f t="shared" si="11"/>
        <v>32</v>
      </c>
    </row>
    <row r="27" spans="1:21">
      <c r="A27" s="1" t="s">
        <v>111</v>
      </c>
      <c r="B27" s="1"/>
      <c r="C27" s="1" t="s">
        <v>140</v>
      </c>
      <c r="D27" s="1" t="s">
        <v>139</v>
      </c>
      <c r="E27" s="1" t="s">
        <v>139</v>
      </c>
      <c r="F27" s="1" t="s">
        <v>141</v>
      </c>
      <c r="G27" s="1" t="s">
        <v>142</v>
      </c>
      <c r="H27" s="1" t="s">
        <v>142</v>
      </c>
      <c r="I27" s="1">
        <f>_xlfn.XLOOKUP(H27,'rank lookup'!$A$1:$A$21,'rank lookup'!$B$1:$B$21,,0)</f>
        <v>12</v>
      </c>
      <c r="J27" s="1"/>
      <c r="K27" s="23">
        <v>182</v>
      </c>
      <c r="L27" s="23">
        <v>142</v>
      </c>
      <c r="M27" s="5">
        <f t="shared" si="0"/>
        <v>42.869218693394522</v>
      </c>
      <c r="N27" s="4">
        <f t="shared" si="1"/>
        <v>71.653543307086608</v>
      </c>
      <c r="O27">
        <f t="shared" si="2"/>
        <v>5</v>
      </c>
      <c r="P27">
        <f t="shared" si="3"/>
        <v>11.7</v>
      </c>
      <c r="Q27" t="str">
        <f t="shared" si="4"/>
        <v>5' 11.7"</v>
      </c>
      <c r="R27">
        <f t="shared" si="5"/>
        <v>313</v>
      </c>
      <c r="S27">
        <f t="shared" si="11"/>
        <v>28</v>
      </c>
      <c r="T27">
        <f t="shared" si="11"/>
        <v>35</v>
      </c>
      <c r="U27">
        <f t="shared" si="11"/>
        <v>36</v>
      </c>
    </row>
    <row r="28" spans="1:21">
      <c r="A28" s="1" t="s">
        <v>103</v>
      </c>
      <c r="B28" s="1"/>
      <c r="C28" s="1" t="s">
        <v>142</v>
      </c>
      <c r="D28" s="1" t="s">
        <v>140</v>
      </c>
      <c r="E28" s="1" t="s">
        <v>141</v>
      </c>
      <c r="F28" s="1" t="s">
        <v>135</v>
      </c>
      <c r="G28" s="1" t="s">
        <v>135</v>
      </c>
      <c r="H28" s="1" t="s">
        <v>143</v>
      </c>
      <c r="I28" s="1">
        <f>_xlfn.XLOOKUP(H28,'rank lookup'!$A$1:$A$21,'rank lookup'!$B$1:$B$21,,0)</f>
        <v>13</v>
      </c>
      <c r="J28" s="1"/>
      <c r="K28" s="23">
        <v>184</v>
      </c>
      <c r="L28" s="23">
        <v>158</v>
      </c>
      <c r="M28" s="5">
        <f t="shared" si="0"/>
        <v>46.668241965973536</v>
      </c>
      <c r="N28" s="4">
        <f t="shared" si="1"/>
        <v>72.440944881889763</v>
      </c>
      <c r="O28">
        <f t="shared" si="2"/>
        <v>6</v>
      </c>
      <c r="P28">
        <f t="shared" si="3"/>
        <v>0.4</v>
      </c>
      <c r="Q28" t="str">
        <f t="shared" si="4"/>
        <v>6' 0.4"</v>
      </c>
      <c r="R28">
        <f t="shared" si="5"/>
        <v>348</v>
      </c>
      <c r="S28">
        <f t="shared" si="11"/>
        <v>22</v>
      </c>
      <c r="T28">
        <f t="shared" si="11"/>
        <v>24</v>
      </c>
      <c r="U28">
        <f t="shared" si="11"/>
        <v>25</v>
      </c>
    </row>
    <row r="29" spans="1:21">
      <c r="A29" s="1" t="s">
        <v>101</v>
      </c>
      <c r="B29" s="1"/>
      <c r="C29" s="1" t="s">
        <v>145</v>
      </c>
      <c r="D29" s="1" t="s">
        <v>143</v>
      </c>
      <c r="E29" s="1" t="s">
        <v>143</v>
      </c>
      <c r="F29" s="1" t="s">
        <v>147</v>
      </c>
      <c r="G29" s="1" t="s">
        <v>142</v>
      </c>
      <c r="H29" s="1" t="s">
        <v>143</v>
      </c>
      <c r="I29" s="1">
        <f>_xlfn.XLOOKUP(H29,'rank lookup'!$A$1:$A$21,'rank lookup'!$B$1:$B$21,,0)</f>
        <v>13</v>
      </c>
      <c r="J29" s="1"/>
      <c r="K29" s="23">
        <v>183</v>
      </c>
      <c r="L29" s="23">
        <v>170</v>
      </c>
      <c r="M29" s="5">
        <f t="shared" si="0"/>
        <v>50.762937083818564</v>
      </c>
      <c r="N29" s="4">
        <f t="shared" si="1"/>
        <v>72.047244094488192</v>
      </c>
      <c r="O29">
        <f t="shared" si="2"/>
        <v>6</v>
      </c>
      <c r="P29">
        <f t="shared" si="3"/>
        <v>0</v>
      </c>
      <c r="Q29" t="str">
        <f t="shared" si="4"/>
        <v>6' 0"</v>
      </c>
      <c r="R29">
        <f t="shared" si="5"/>
        <v>375</v>
      </c>
      <c r="S29">
        <f t="shared" si="11"/>
        <v>27</v>
      </c>
      <c r="T29">
        <f t="shared" si="11"/>
        <v>15</v>
      </c>
      <c r="U29">
        <f t="shared" si="11"/>
        <v>10</v>
      </c>
    </row>
    <row r="30" spans="1:21">
      <c r="A30" s="1" t="s">
        <v>189</v>
      </c>
      <c r="F30" t="s">
        <v>151</v>
      </c>
      <c r="G30" t="s">
        <v>140</v>
      </c>
      <c r="H30" s="1" t="s">
        <v>145</v>
      </c>
      <c r="I30" s="1">
        <f>_xlfn.XLOOKUP(H30,'rank lookup'!$A$1:$A$21,'rank lookup'!$B$1:$B$21,,0)</f>
        <v>14</v>
      </c>
      <c r="J30" s="1"/>
      <c r="K30" s="23">
        <v>192</v>
      </c>
      <c r="L30" s="23">
        <v>181</v>
      </c>
      <c r="M30" s="5">
        <f t="shared" si="0"/>
        <v>49.099392361111107</v>
      </c>
      <c r="N30" s="4">
        <f t="shared" si="1"/>
        <v>75.59055118110237</v>
      </c>
      <c r="O30">
        <f t="shared" si="2"/>
        <v>6</v>
      </c>
      <c r="P30">
        <f t="shared" si="3"/>
        <v>3.6</v>
      </c>
      <c r="Q30" t="str">
        <f t="shared" si="4"/>
        <v>6' 3.6"</v>
      </c>
      <c r="R30">
        <f t="shared" si="5"/>
        <v>399</v>
      </c>
      <c r="S30">
        <f t="shared" si="11"/>
        <v>3</v>
      </c>
      <c r="T30">
        <f t="shared" si="11"/>
        <v>7</v>
      </c>
      <c r="U30">
        <f t="shared" si="11"/>
        <v>18</v>
      </c>
    </row>
    <row r="31" spans="1:21">
      <c r="A31" s="1" t="s">
        <v>97</v>
      </c>
      <c r="B31" s="1"/>
      <c r="C31" s="1" t="s">
        <v>143</v>
      </c>
      <c r="D31" s="1" t="s">
        <v>135</v>
      </c>
      <c r="E31" s="1" t="s">
        <v>141</v>
      </c>
      <c r="F31" s="1" t="s">
        <v>145</v>
      </c>
      <c r="G31" s="1" t="s">
        <v>151</v>
      </c>
      <c r="H31" s="1" t="s">
        <v>145</v>
      </c>
      <c r="I31" s="1">
        <f>_xlfn.XLOOKUP(H31,'rank lookup'!$A$1:$A$21,'rank lookup'!$B$1:$B$21,,0)</f>
        <v>14</v>
      </c>
      <c r="J31" s="1"/>
      <c r="K31" s="23">
        <v>188</v>
      </c>
      <c r="L31" s="23">
        <v>156</v>
      </c>
      <c r="M31" s="5">
        <f t="shared" si="0"/>
        <v>44.137618832050705</v>
      </c>
      <c r="N31" s="4">
        <f t="shared" si="1"/>
        <v>74.015748031496059</v>
      </c>
      <c r="O31">
        <f t="shared" si="2"/>
        <v>6</v>
      </c>
      <c r="P31">
        <f t="shared" si="3"/>
        <v>2</v>
      </c>
      <c r="Q31" t="str">
        <f t="shared" si="4"/>
        <v>6' 2"</v>
      </c>
      <c r="R31">
        <f t="shared" si="5"/>
        <v>344</v>
      </c>
      <c r="S31">
        <f t="shared" si="11"/>
        <v>11</v>
      </c>
      <c r="T31">
        <f t="shared" si="11"/>
        <v>26</v>
      </c>
      <c r="U31">
        <f t="shared" si="11"/>
        <v>30</v>
      </c>
    </row>
    <row r="32" spans="1:21">
      <c r="A32" s="1" t="s">
        <v>122</v>
      </c>
      <c r="B32" s="1"/>
      <c r="C32" s="1" t="s">
        <v>143</v>
      </c>
      <c r="D32" s="1" t="s">
        <v>148</v>
      </c>
      <c r="E32" s="1" t="s">
        <v>150</v>
      </c>
      <c r="F32" s="1" t="s">
        <v>150</v>
      </c>
      <c r="G32" s="1" t="s">
        <v>148</v>
      </c>
      <c r="H32" s="1" t="s">
        <v>147</v>
      </c>
      <c r="I32" s="1">
        <f>_xlfn.XLOOKUP(H32,'rank lookup'!$A$1:$A$21,'rank lookup'!$B$1:$B$21,,0)</f>
        <v>15</v>
      </c>
      <c r="J32" s="1"/>
      <c r="K32" s="23">
        <v>176</v>
      </c>
      <c r="L32" s="23">
        <v>133</v>
      </c>
      <c r="M32" s="5">
        <f t="shared" si="0"/>
        <v>42.936466942148755</v>
      </c>
      <c r="N32" s="4">
        <f t="shared" si="1"/>
        <v>69.29133858267717</v>
      </c>
      <c r="O32">
        <f t="shared" si="2"/>
        <v>5</v>
      </c>
      <c r="P32">
        <f t="shared" si="3"/>
        <v>9.3000000000000007</v>
      </c>
      <c r="Q32" t="str">
        <f t="shared" si="4"/>
        <v>5' 9.3"</v>
      </c>
      <c r="R32">
        <f t="shared" si="5"/>
        <v>293</v>
      </c>
      <c r="S32">
        <f t="shared" si="11"/>
        <v>37</v>
      </c>
      <c r="T32">
        <f t="shared" si="11"/>
        <v>40</v>
      </c>
      <c r="U32">
        <f t="shared" si="11"/>
        <v>35</v>
      </c>
    </row>
    <row r="33" spans="1:21">
      <c r="A33" s="1" t="s">
        <v>108</v>
      </c>
      <c r="B33" s="1"/>
      <c r="C33" s="1" t="s">
        <v>152</v>
      </c>
      <c r="D33" s="1" t="s">
        <v>170</v>
      </c>
      <c r="E33" s="1" t="s">
        <v>152</v>
      </c>
      <c r="F33" s="1" t="s">
        <v>154</v>
      </c>
      <c r="G33" s="1" t="s">
        <v>152</v>
      </c>
      <c r="H33" s="1" t="s">
        <v>147</v>
      </c>
      <c r="I33" s="1">
        <f>_xlfn.XLOOKUP(H33,'rank lookup'!$A$1:$A$21,'rank lookup'!$B$1:$B$21,,0)</f>
        <v>15</v>
      </c>
      <c r="J33" s="1"/>
      <c r="K33" s="23">
        <v>185</v>
      </c>
      <c r="L33" s="23">
        <v>194</v>
      </c>
      <c r="M33" s="5">
        <f t="shared" si="0"/>
        <v>56.683710737764791</v>
      </c>
      <c r="N33" s="4">
        <f t="shared" si="1"/>
        <v>72.834645669291348</v>
      </c>
      <c r="O33">
        <f t="shared" si="2"/>
        <v>6</v>
      </c>
      <c r="P33">
        <f t="shared" si="3"/>
        <v>0.8</v>
      </c>
      <c r="Q33" t="str">
        <f t="shared" si="4"/>
        <v>6' 0.8"</v>
      </c>
      <c r="R33">
        <f t="shared" si="5"/>
        <v>428</v>
      </c>
      <c r="S33">
        <f t="shared" si="11"/>
        <v>19</v>
      </c>
      <c r="T33">
        <f t="shared" si="11"/>
        <v>2</v>
      </c>
      <c r="U33">
        <f t="shared" si="11"/>
        <v>3</v>
      </c>
    </row>
    <row r="34" spans="1:21">
      <c r="A34" s="1" t="s">
        <v>114</v>
      </c>
      <c r="B34" s="1"/>
      <c r="C34" s="1" t="s">
        <v>31</v>
      </c>
      <c r="D34" s="1" t="s">
        <v>31</v>
      </c>
      <c r="E34" s="1" t="s">
        <v>31</v>
      </c>
      <c r="F34" s="1" t="s">
        <v>31</v>
      </c>
      <c r="G34" s="1" t="s">
        <v>42</v>
      </c>
      <c r="H34" s="1" t="s">
        <v>148</v>
      </c>
      <c r="I34" s="1">
        <f>_xlfn.XLOOKUP(H34,'rank lookup'!$A$1:$A$21,'rank lookup'!$B$1:$B$21,,0)</f>
        <v>16</v>
      </c>
      <c r="J34" s="1"/>
      <c r="K34" s="23">
        <v>182</v>
      </c>
      <c r="L34" s="23">
        <v>132</v>
      </c>
      <c r="M34" s="5">
        <f t="shared" si="0"/>
        <v>39.850259630479414</v>
      </c>
      <c r="N34" s="4">
        <f t="shared" si="1"/>
        <v>71.653543307086608</v>
      </c>
      <c r="O34">
        <f t="shared" si="2"/>
        <v>5</v>
      </c>
      <c r="P34">
        <f t="shared" si="3"/>
        <v>11.7</v>
      </c>
      <c r="Q34" t="str">
        <f t="shared" si="4"/>
        <v>5' 11.7"</v>
      </c>
      <c r="R34">
        <f t="shared" si="5"/>
        <v>291</v>
      </c>
      <c r="S34">
        <f t="shared" si="11"/>
        <v>28</v>
      </c>
      <c r="T34">
        <f t="shared" si="11"/>
        <v>41</v>
      </c>
      <c r="U34">
        <f t="shared" si="11"/>
        <v>41</v>
      </c>
    </row>
    <row r="35" spans="1:21">
      <c r="A35" s="1" t="s">
        <v>110</v>
      </c>
      <c r="B35" s="1"/>
      <c r="C35" s="1" t="s">
        <v>151</v>
      </c>
      <c r="D35" s="1" t="s">
        <v>145</v>
      </c>
      <c r="E35" s="1" t="s">
        <v>147</v>
      </c>
      <c r="F35" s="1" t="s">
        <v>154</v>
      </c>
      <c r="G35" s="1" t="s">
        <v>150</v>
      </c>
      <c r="H35" s="1" t="s">
        <v>148</v>
      </c>
      <c r="I35" s="1">
        <f>_xlfn.XLOOKUP(H35,'rank lookup'!$A$1:$A$21,'rank lookup'!$B$1:$B$21,,0)</f>
        <v>16</v>
      </c>
      <c r="J35" s="1"/>
      <c r="K35" s="23">
        <v>184</v>
      </c>
      <c r="L35" s="23">
        <v>137</v>
      </c>
      <c r="M35" s="5">
        <f t="shared" si="0"/>
        <v>40.465500945179578</v>
      </c>
      <c r="N35" s="4">
        <f t="shared" si="1"/>
        <v>72.440944881889763</v>
      </c>
      <c r="O35">
        <f t="shared" si="2"/>
        <v>6</v>
      </c>
      <c r="P35">
        <f t="shared" si="3"/>
        <v>0.4</v>
      </c>
      <c r="Q35" t="str">
        <f t="shared" si="4"/>
        <v>6' 0.4"</v>
      </c>
      <c r="R35">
        <f t="shared" si="5"/>
        <v>302</v>
      </c>
      <c r="S35">
        <f t="shared" si="11"/>
        <v>22</v>
      </c>
      <c r="T35">
        <f t="shared" si="11"/>
        <v>37</v>
      </c>
      <c r="U35">
        <f t="shared" si="11"/>
        <v>39</v>
      </c>
    </row>
    <row r="36" spans="1:21">
      <c r="A36" t="s">
        <v>146</v>
      </c>
      <c r="C36" s="1" t="s">
        <v>147</v>
      </c>
      <c r="D36" s="1" t="s">
        <v>147</v>
      </c>
      <c r="E36" s="1" t="s">
        <v>150</v>
      </c>
      <c r="F36" s="1" t="s">
        <v>140</v>
      </c>
      <c r="G36" s="1" t="s">
        <v>140</v>
      </c>
      <c r="H36" s="1" t="s">
        <v>150</v>
      </c>
      <c r="I36" s="1">
        <f>_xlfn.XLOOKUP(H36,'rank lookup'!$A$1:$A$21,'rank lookup'!$B$1:$B$21,,0)</f>
        <v>17</v>
      </c>
      <c r="J36" s="1"/>
      <c r="K36" s="23">
        <v>191</v>
      </c>
      <c r="L36" s="23">
        <v>161</v>
      </c>
      <c r="M36" s="5">
        <f t="shared" ref="M36:M58" si="12">L36/(K36*K36)*10000</f>
        <v>44.13256215564266</v>
      </c>
      <c r="N36" s="4">
        <f t="shared" ref="N36:N58" si="13">CONVERT(K36,"cm","in")</f>
        <v>75.196850393700785</v>
      </c>
      <c r="O36">
        <f t="shared" ref="O36:O58" si="14">_xlfn.FLOOR.MATH(N36/12)</f>
        <v>6</v>
      </c>
      <c r="P36">
        <f t="shared" ref="P36:P58" si="15">ROUND(N36-O36*12,1)</f>
        <v>3.2</v>
      </c>
      <c r="Q36" t="str">
        <f t="shared" ref="Q36:Q58" si="16">O36&amp;"' "&amp;P36&amp;""""</f>
        <v>6' 3.2"</v>
      </c>
      <c r="R36">
        <f t="shared" ref="R36:R58" si="17">ROUND(CONVERT(L36,"kg","lbm"),0)</f>
        <v>355</v>
      </c>
      <c r="S36">
        <f t="shared" si="11"/>
        <v>5</v>
      </c>
      <c r="T36">
        <f t="shared" si="11"/>
        <v>22</v>
      </c>
      <c r="U36">
        <f t="shared" si="11"/>
        <v>31</v>
      </c>
    </row>
    <row r="37" spans="1:21">
      <c r="A37" s="1" t="s">
        <v>242</v>
      </c>
      <c r="H37" t="s">
        <v>150</v>
      </c>
      <c r="I37" s="1">
        <f>_xlfn.XLOOKUP(H37,'rank lookup'!$A$1:$A$21,'rank lookup'!$B$1:$B$21,,0)</f>
        <v>17</v>
      </c>
      <c r="K37" s="25">
        <v>177</v>
      </c>
      <c r="L37" s="25">
        <v>154</v>
      </c>
      <c r="M37" s="5">
        <f t="shared" si="12"/>
        <v>49.155734303680298</v>
      </c>
      <c r="N37" s="4">
        <f t="shared" si="13"/>
        <v>69.685039370078741</v>
      </c>
      <c r="O37">
        <f t="shared" si="14"/>
        <v>5</v>
      </c>
      <c r="P37">
        <f t="shared" si="15"/>
        <v>9.6999999999999993</v>
      </c>
      <c r="Q37" t="str">
        <f t="shared" si="16"/>
        <v>5' 9.7"</v>
      </c>
      <c r="R37">
        <f t="shared" si="17"/>
        <v>340</v>
      </c>
      <c r="S37">
        <f t="shared" si="11"/>
        <v>34</v>
      </c>
      <c r="T37">
        <f t="shared" si="11"/>
        <v>28</v>
      </c>
      <c r="U37">
        <f t="shared" si="11"/>
        <v>17</v>
      </c>
    </row>
    <row r="38" spans="1:21">
      <c r="A38" s="1" t="s">
        <v>188</v>
      </c>
      <c r="F38" t="s">
        <v>150</v>
      </c>
      <c r="G38" t="s">
        <v>147</v>
      </c>
      <c r="H38" s="1" t="s">
        <v>151</v>
      </c>
      <c r="I38" s="1">
        <f>_xlfn.XLOOKUP(H38,'rank lookup'!$A$1:$A$21,'rank lookup'!$B$1:$B$21,,0)</f>
        <v>18</v>
      </c>
      <c r="J38" s="1"/>
      <c r="K38" s="23">
        <v>185</v>
      </c>
      <c r="L38" s="23">
        <v>196</v>
      </c>
      <c r="M38" s="5">
        <f t="shared" si="12"/>
        <v>57.268078889700504</v>
      </c>
      <c r="N38" s="4">
        <f t="shared" si="13"/>
        <v>72.834645669291348</v>
      </c>
      <c r="O38">
        <f t="shared" si="14"/>
        <v>6</v>
      </c>
      <c r="P38">
        <f t="shared" si="15"/>
        <v>0.8</v>
      </c>
      <c r="Q38" t="str">
        <f t="shared" si="16"/>
        <v>6' 0.8"</v>
      </c>
      <c r="R38">
        <f t="shared" si="17"/>
        <v>432</v>
      </c>
      <c r="S38">
        <f t="shared" si="11"/>
        <v>19</v>
      </c>
      <c r="T38">
        <f t="shared" si="11"/>
        <v>1</v>
      </c>
      <c r="U38">
        <f t="shared" si="11"/>
        <v>2</v>
      </c>
    </row>
    <row r="39" spans="1:21">
      <c r="A39" s="1" t="s">
        <v>243</v>
      </c>
      <c r="H39" t="s">
        <v>151</v>
      </c>
      <c r="I39" s="1">
        <f>_xlfn.XLOOKUP(H39,'rank lookup'!$A$1:$A$21,'rank lookup'!$B$1:$B$21,,0)</f>
        <v>18</v>
      </c>
      <c r="K39" s="25">
        <v>193</v>
      </c>
      <c r="L39" s="25">
        <v>186</v>
      </c>
      <c r="M39" s="5">
        <f t="shared" si="12"/>
        <v>49.93422642218583</v>
      </c>
      <c r="N39" s="4">
        <f t="shared" si="13"/>
        <v>75.984251968503941</v>
      </c>
      <c r="O39">
        <f t="shared" si="14"/>
        <v>6</v>
      </c>
      <c r="P39">
        <f t="shared" si="15"/>
        <v>4</v>
      </c>
      <c r="Q39" t="str">
        <f t="shared" si="16"/>
        <v>6' 4"</v>
      </c>
      <c r="R39">
        <f t="shared" si="17"/>
        <v>410</v>
      </c>
      <c r="S39">
        <f t="shared" si="11"/>
        <v>2</v>
      </c>
      <c r="T39">
        <f t="shared" si="11"/>
        <v>3</v>
      </c>
      <c r="U39">
        <f t="shared" si="11"/>
        <v>11</v>
      </c>
    </row>
    <row r="40" spans="1:21">
      <c r="A40" t="s">
        <v>149</v>
      </c>
      <c r="C40" s="1" t="s">
        <v>148</v>
      </c>
      <c r="D40" s="1" t="s">
        <v>141</v>
      </c>
      <c r="E40" s="1" t="s">
        <v>140</v>
      </c>
      <c r="F40" s="1" t="s">
        <v>136</v>
      </c>
      <c r="G40" s="1" t="s">
        <v>145</v>
      </c>
      <c r="H40" s="1" t="s">
        <v>152</v>
      </c>
      <c r="I40" s="1">
        <f>_xlfn.XLOOKUP(H40,'rank lookup'!$A$1:$A$21,'rank lookup'!$B$1:$B$21,,0)</f>
        <v>19</v>
      </c>
      <c r="J40" s="1"/>
      <c r="K40" s="24">
        <v>188</v>
      </c>
      <c r="L40" s="23">
        <v>155</v>
      </c>
      <c r="M40" s="5">
        <f t="shared" si="12"/>
        <v>43.854685377999097</v>
      </c>
      <c r="N40" s="4">
        <f t="shared" si="13"/>
        <v>74.015748031496059</v>
      </c>
      <c r="O40">
        <f t="shared" si="14"/>
        <v>6</v>
      </c>
      <c r="P40">
        <f t="shared" si="15"/>
        <v>2</v>
      </c>
      <c r="Q40" t="str">
        <f t="shared" si="16"/>
        <v>6' 2"</v>
      </c>
      <c r="R40">
        <f t="shared" si="17"/>
        <v>342</v>
      </c>
      <c r="S40">
        <f t="shared" si="11"/>
        <v>11</v>
      </c>
      <c r="T40">
        <f t="shared" si="11"/>
        <v>27</v>
      </c>
      <c r="U40">
        <f t="shared" si="11"/>
        <v>33</v>
      </c>
    </row>
    <row r="41" spans="1:21">
      <c r="A41" s="1" t="s">
        <v>104</v>
      </c>
      <c r="B41" s="1"/>
      <c r="C41" s="1" t="s">
        <v>140</v>
      </c>
      <c r="D41" s="1" t="s">
        <v>142</v>
      </c>
      <c r="E41" s="1" t="s">
        <v>154</v>
      </c>
      <c r="F41" s="1" t="s">
        <v>148</v>
      </c>
      <c r="G41" s="1" t="s">
        <v>145</v>
      </c>
      <c r="H41" s="1" t="s">
        <v>152</v>
      </c>
      <c r="I41" s="1">
        <f>_xlfn.XLOOKUP(H41,'rank lookup'!$A$1:$A$21,'rank lookup'!$B$1:$B$21,,0)</f>
        <v>19</v>
      </c>
      <c r="J41" s="1"/>
      <c r="K41" s="23">
        <v>186</v>
      </c>
      <c r="L41" s="23">
        <v>171</v>
      </c>
      <c r="M41" s="5">
        <f t="shared" si="12"/>
        <v>49.427679500520291</v>
      </c>
      <c r="N41" s="4">
        <f t="shared" si="13"/>
        <v>73.228346456692918</v>
      </c>
      <c r="O41">
        <f t="shared" si="14"/>
        <v>6</v>
      </c>
      <c r="P41">
        <f t="shared" si="15"/>
        <v>1.2</v>
      </c>
      <c r="Q41" t="str">
        <f t="shared" si="16"/>
        <v>6' 1.2"</v>
      </c>
      <c r="R41">
        <f t="shared" si="17"/>
        <v>377</v>
      </c>
      <c r="S41">
        <f t="shared" si="11"/>
        <v>16</v>
      </c>
      <c r="T41">
        <f t="shared" si="11"/>
        <v>13</v>
      </c>
      <c r="U41">
        <f t="shared" si="11"/>
        <v>15</v>
      </c>
    </row>
    <row r="42" spans="1:21">
      <c r="A42" s="1" t="s">
        <v>99</v>
      </c>
      <c r="B42" s="1"/>
      <c r="C42" s="1" t="s">
        <v>141</v>
      </c>
      <c r="D42" s="1" t="s">
        <v>135</v>
      </c>
      <c r="E42" s="1" t="s">
        <v>143</v>
      </c>
      <c r="F42" s="1" t="s">
        <v>141</v>
      </c>
      <c r="G42" s="1" t="s">
        <v>136</v>
      </c>
      <c r="H42" s="1" t="s">
        <v>154</v>
      </c>
      <c r="I42" s="1">
        <f>_xlfn.XLOOKUP(H42,'rank lookup'!$A$1:$A$21,'rank lookup'!$B$1:$B$21,,0)</f>
        <v>20</v>
      </c>
      <c r="J42" s="1"/>
      <c r="K42" s="23">
        <v>184</v>
      </c>
      <c r="L42" s="23">
        <v>150</v>
      </c>
      <c r="M42" s="5">
        <f t="shared" si="12"/>
        <v>44.305293005671075</v>
      </c>
      <c r="N42" s="4">
        <f t="shared" si="13"/>
        <v>72.440944881889763</v>
      </c>
      <c r="O42">
        <f t="shared" si="14"/>
        <v>6</v>
      </c>
      <c r="P42">
        <f t="shared" si="15"/>
        <v>0.4</v>
      </c>
      <c r="Q42" t="str">
        <f t="shared" si="16"/>
        <v>6' 0.4"</v>
      </c>
      <c r="R42">
        <f t="shared" si="17"/>
        <v>331</v>
      </c>
      <c r="S42">
        <f t="shared" si="11"/>
        <v>22</v>
      </c>
      <c r="T42">
        <f t="shared" si="11"/>
        <v>30</v>
      </c>
      <c r="U42">
        <f t="shared" si="11"/>
        <v>29</v>
      </c>
    </row>
    <row r="43" spans="1:21">
      <c r="A43" s="1" t="s">
        <v>190</v>
      </c>
      <c r="F43" t="s">
        <v>151</v>
      </c>
      <c r="G43" s="1" t="s">
        <v>170</v>
      </c>
      <c r="H43" s="1" t="s">
        <v>154</v>
      </c>
      <c r="I43" s="1">
        <f>_xlfn.XLOOKUP(H43,'rank lookup'!$A$1:$A$21,'rank lookup'!$B$1:$B$21,,0)</f>
        <v>20</v>
      </c>
      <c r="K43" s="23">
        <v>171</v>
      </c>
      <c r="L43" s="23">
        <v>171</v>
      </c>
      <c r="M43" s="5">
        <f t="shared" si="12"/>
        <v>58.479532163742689</v>
      </c>
      <c r="N43" s="4">
        <f t="shared" si="13"/>
        <v>67.322834645669289</v>
      </c>
      <c r="O43">
        <f t="shared" si="14"/>
        <v>5</v>
      </c>
      <c r="P43">
        <f t="shared" si="15"/>
        <v>7.3</v>
      </c>
      <c r="Q43" t="str">
        <f t="shared" si="16"/>
        <v>5' 7.3"</v>
      </c>
      <c r="R43">
        <f t="shared" si="17"/>
        <v>377</v>
      </c>
      <c r="S43">
        <f t="shared" si="11"/>
        <v>41</v>
      </c>
      <c r="T43">
        <f t="shared" si="11"/>
        <v>13</v>
      </c>
      <c r="U43">
        <f t="shared" si="11"/>
        <v>1</v>
      </c>
    </row>
    <row r="44" spans="1:21">
      <c r="A44" s="1" t="s">
        <v>91</v>
      </c>
      <c r="B44" s="1"/>
      <c r="C44" s="1" t="s">
        <v>135</v>
      </c>
      <c r="D44" s="1" t="s">
        <v>145</v>
      </c>
      <c r="E44" s="1" t="s">
        <v>145</v>
      </c>
      <c r="F44" s="1" t="s">
        <v>143</v>
      </c>
      <c r="G44" s="1" t="s">
        <v>148</v>
      </c>
      <c r="H44" s="1" t="s">
        <v>186</v>
      </c>
      <c r="I44" s="1">
        <f>_xlfn.XLOOKUP(H44,'rank lookup'!$A$1:$A$21,'rank lookup'!$B$1:$B$21,,0)</f>
        <v>21</v>
      </c>
      <c r="J44" s="1"/>
      <c r="K44" s="23">
        <v>191</v>
      </c>
      <c r="L44" s="23">
        <v>186</v>
      </c>
      <c r="M44" s="5">
        <f t="shared" si="12"/>
        <v>50.985444477947425</v>
      </c>
      <c r="N44" s="4">
        <f t="shared" si="13"/>
        <v>75.196850393700785</v>
      </c>
      <c r="O44">
        <f t="shared" si="14"/>
        <v>6</v>
      </c>
      <c r="P44">
        <f t="shared" si="15"/>
        <v>3.2</v>
      </c>
      <c r="Q44" t="str">
        <f t="shared" si="16"/>
        <v>6' 3.2"</v>
      </c>
      <c r="R44">
        <f t="shared" si="17"/>
        <v>410</v>
      </c>
      <c r="S44">
        <f t="shared" si="11"/>
        <v>5</v>
      </c>
      <c r="T44">
        <f t="shared" si="11"/>
        <v>3</v>
      </c>
      <c r="U44">
        <f t="shared" si="11"/>
        <v>9</v>
      </c>
    </row>
    <row r="45" spans="1:21">
      <c r="A45" s="1" t="s">
        <v>244</v>
      </c>
      <c r="H45" t="s">
        <v>186</v>
      </c>
      <c r="I45" s="1">
        <f>_xlfn.XLOOKUP(H45,'rank lookup'!$A$1:$A$21,'rank lookup'!$B$1:$B$21,,0)</f>
        <v>21</v>
      </c>
      <c r="K45" s="25">
        <v>181</v>
      </c>
      <c r="L45" s="25">
        <v>162</v>
      </c>
      <c r="M45" s="5">
        <f t="shared" si="12"/>
        <v>49.449040017093495</v>
      </c>
      <c r="N45" s="4">
        <f t="shared" si="13"/>
        <v>71.259842519685037</v>
      </c>
      <c r="O45">
        <f t="shared" si="14"/>
        <v>5</v>
      </c>
      <c r="P45">
        <f t="shared" si="15"/>
        <v>11.3</v>
      </c>
      <c r="Q45" t="str">
        <f t="shared" si="16"/>
        <v>5' 11.3"</v>
      </c>
      <c r="R45">
        <f t="shared" si="17"/>
        <v>357</v>
      </c>
      <c r="S45">
        <f t="shared" si="11"/>
        <v>31</v>
      </c>
      <c r="T45">
        <f t="shared" si="11"/>
        <v>21</v>
      </c>
      <c r="U45">
        <f t="shared" si="11"/>
        <v>14</v>
      </c>
    </row>
    <row r="46" spans="1:21">
      <c r="A46" s="1" t="s">
        <v>89</v>
      </c>
      <c r="B46" s="1">
        <v>1</v>
      </c>
      <c r="C46" s="1" t="s">
        <v>42</v>
      </c>
      <c r="D46" s="1" t="s">
        <v>136</v>
      </c>
      <c r="E46" s="1" t="s">
        <v>135</v>
      </c>
      <c r="F46" s="1" t="s">
        <v>170</v>
      </c>
      <c r="G46" s="1" t="s">
        <v>150</v>
      </c>
      <c r="H46" s="1" t="s">
        <v>179</v>
      </c>
      <c r="I46" s="1" t="e">
        <f>_xlfn.XLOOKUP(H46,'rank lookup'!$A$1:$A$21,'rank lookup'!$B$1:$B$21,,0)</f>
        <v>#N/A</v>
      </c>
      <c r="J46" s="1"/>
      <c r="K46" s="23">
        <v>191</v>
      </c>
      <c r="L46" s="23">
        <v>219</v>
      </c>
      <c r="M46" s="5">
        <f t="shared" si="12"/>
        <v>60.031249143389715</v>
      </c>
      <c r="N46" s="4">
        <f t="shared" si="13"/>
        <v>75.196850393700785</v>
      </c>
      <c r="O46">
        <f t="shared" si="14"/>
        <v>6</v>
      </c>
      <c r="P46">
        <f t="shared" si="15"/>
        <v>3.2</v>
      </c>
      <c r="Q46" t="str">
        <f t="shared" si="16"/>
        <v>6' 3.2"</v>
      </c>
      <c r="R46">
        <f t="shared" si="17"/>
        <v>483</v>
      </c>
    </row>
    <row r="47" spans="1:21">
      <c r="A47" s="1" t="s">
        <v>98</v>
      </c>
      <c r="B47" s="1"/>
      <c r="C47" s="1" t="s">
        <v>150</v>
      </c>
      <c r="D47" s="1" t="s">
        <v>151</v>
      </c>
      <c r="E47" s="1" t="s">
        <v>151</v>
      </c>
      <c r="F47" s="1" t="s">
        <v>142</v>
      </c>
      <c r="G47" s="1" t="s">
        <v>152</v>
      </c>
      <c r="H47" s="1" t="s">
        <v>170</v>
      </c>
      <c r="I47" s="1" t="e">
        <f>_xlfn.XLOOKUP(H47,'rank lookup'!$A$1:$A$21,'rank lookup'!$B$1:$B$21,,0)</f>
        <v>#N/A</v>
      </c>
      <c r="J47" s="1"/>
      <c r="K47" s="23">
        <v>187</v>
      </c>
      <c r="L47" s="23">
        <v>144</v>
      </c>
      <c r="M47" s="5">
        <f t="shared" si="12"/>
        <v>41.179330263948074</v>
      </c>
      <c r="N47" s="4">
        <f t="shared" si="13"/>
        <v>73.622047244094489</v>
      </c>
      <c r="O47">
        <f t="shared" si="14"/>
        <v>6</v>
      </c>
      <c r="P47">
        <f t="shared" si="15"/>
        <v>1.6</v>
      </c>
      <c r="Q47" t="str">
        <f t="shared" si="16"/>
        <v>6' 1.6"</v>
      </c>
      <c r="R47">
        <f t="shared" si="17"/>
        <v>317</v>
      </c>
    </row>
    <row r="48" spans="1:21">
      <c r="A48" t="s">
        <v>153</v>
      </c>
      <c r="C48" s="1" t="s">
        <v>154</v>
      </c>
      <c r="D48" s="1" t="s">
        <v>170</v>
      </c>
      <c r="E48" s="1" t="s">
        <v>152</v>
      </c>
      <c r="F48" s="1" t="s">
        <v>186</v>
      </c>
      <c r="G48" s="1" t="s">
        <v>154</v>
      </c>
      <c r="H48" s="1" t="s">
        <v>192</v>
      </c>
      <c r="I48" s="1" t="e">
        <f>_xlfn.XLOOKUP(H48,'rank lookup'!$A$1:$A$21,'rank lookup'!$B$1:$B$21,,0)</f>
        <v>#N/A</v>
      </c>
      <c r="J48" s="1"/>
      <c r="K48" s="23">
        <v>189</v>
      </c>
      <c r="L48" s="23">
        <v>199</v>
      </c>
      <c r="M48" s="5">
        <f t="shared" si="12"/>
        <v>55.709526608997514</v>
      </c>
      <c r="N48" s="4">
        <f t="shared" si="13"/>
        <v>74.409448818897644</v>
      </c>
      <c r="O48">
        <f t="shared" si="14"/>
        <v>6</v>
      </c>
      <c r="P48">
        <f t="shared" si="15"/>
        <v>2.4</v>
      </c>
      <c r="Q48" t="str">
        <f t="shared" si="16"/>
        <v>6' 2.4"</v>
      </c>
      <c r="R48">
        <f t="shared" si="17"/>
        <v>439</v>
      </c>
    </row>
    <row r="49" spans="1:18">
      <c r="A49" s="1" t="s">
        <v>167</v>
      </c>
      <c r="D49" t="s">
        <v>152</v>
      </c>
      <c r="E49" t="s">
        <v>148</v>
      </c>
      <c r="F49" t="s">
        <v>148</v>
      </c>
      <c r="G49" s="1" t="s">
        <v>186</v>
      </c>
      <c r="H49" s="1" t="s">
        <v>241</v>
      </c>
      <c r="I49" s="1" t="e">
        <f>_xlfn.XLOOKUP(H49,'rank lookup'!$A$1:$A$21,'rank lookup'!$B$1:$B$21,,0)</f>
        <v>#N/A</v>
      </c>
      <c r="K49" s="23">
        <v>193</v>
      </c>
      <c r="L49" s="23">
        <v>156</v>
      </c>
      <c r="M49" s="5">
        <f t="shared" si="12"/>
        <v>41.880318934736501</v>
      </c>
      <c r="N49" s="4">
        <f t="shared" si="13"/>
        <v>75.984251968503941</v>
      </c>
      <c r="O49">
        <f t="shared" si="14"/>
        <v>6</v>
      </c>
      <c r="P49">
        <f t="shared" si="15"/>
        <v>4</v>
      </c>
      <c r="Q49" t="str">
        <f t="shared" si="16"/>
        <v>6' 4"</v>
      </c>
      <c r="R49">
        <f t="shared" si="17"/>
        <v>344</v>
      </c>
    </row>
    <row r="50" spans="1:18">
      <c r="A50" s="1" t="s">
        <v>166</v>
      </c>
      <c r="D50" t="s">
        <v>151</v>
      </c>
      <c r="E50" s="1" t="s">
        <v>151</v>
      </c>
      <c r="F50" s="1" t="s">
        <v>147</v>
      </c>
      <c r="G50" s="1" t="s">
        <v>192</v>
      </c>
      <c r="H50" s="1" t="s">
        <v>245</v>
      </c>
      <c r="I50" s="1" t="e">
        <f>_xlfn.XLOOKUP(H50,'rank lookup'!$A$1:$A$21,'rank lookup'!$B$1:$B$21,,0)</f>
        <v>#N/A</v>
      </c>
      <c r="J50" s="1"/>
      <c r="K50" s="23">
        <v>192</v>
      </c>
      <c r="L50" s="23">
        <v>159</v>
      </c>
      <c r="M50" s="5">
        <f t="shared" si="12"/>
        <v>43.131510416666671</v>
      </c>
      <c r="N50" s="4">
        <f t="shared" si="13"/>
        <v>75.59055118110237</v>
      </c>
      <c r="O50">
        <f t="shared" si="14"/>
        <v>6</v>
      </c>
      <c r="P50">
        <f t="shared" si="15"/>
        <v>3.6</v>
      </c>
      <c r="Q50" t="str">
        <f t="shared" si="16"/>
        <v>6' 3.6"</v>
      </c>
      <c r="R50">
        <f t="shared" si="17"/>
        <v>351</v>
      </c>
    </row>
    <row r="51" spans="1:18">
      <c r="A51" s="1" t="s">
        <v>87</v>
      </c>
      <c r="B51" s="1">
        <v>1</v>
      </c>
      <c r="C51" s="1" t="s">
        <v>142</v>
      </c>
      <c r="D51" s="1" t="s">
        <v>142</v>
      </c>
      <c r="E51" s="1" t="s">
        <v>147</v>
      </c>
      <c r="F51" s="1" t="s">
        <v>192</v>
      </c>
      <c r="G51" s="1" t="s">
        <v>232</v>
      </c>
      <c r="H51" s="1" t="s">
        <v>179</v>
      </c>
      <c r="I51" s="1" t="e">
        <f>_xlfn.XLOOKUP(H51,'rank lookup'!$A$1:$A$21,'rank lookup'!$B$1:$B$21,,0)</f>
        <v>#N/A</v>
      </c>
      <c r="J51" s="1"/>
      <c r="K51" s="23">
        <v>192</v>
      </c>
      <c r="L51" s="23">
        <v>189</v>
      </c>
      <c r="M51" s="5">
        <f t="shared" si="12"/>
        <v>51.26953125</v>
      </c>
      <c r="N51" s="4">
        <f t="shared" si="13"/>
        <v>75.59055118110237</v>
      </c>
      <c r="O51">
        <f t="shared" si="14"/>
        <v>6</v>
      </c>
      <c r="P51">
        <f t="shared" si="15"/>
        <v>3.6</v>
      </c>
      <c r="Q51" t="str">
        <f t="shared" si="16"/>
        <v>6' 3.6"</v>
      </c>
      <c r="R51">
        <f t="shared" si="17"/>
        <v>417</v>
      </c>
    </row>
    <row r="52" spans="1:18">
      <c r="A52" s="1" t="s">
        <v>90</v>
      </c>
      <c r="B52" s="1"/>
      <c r="C52" s="1" t="s">
        <v>148</v>
      </c>
      <c r="D52" s="1" t="s">
        <v>150</v>
      </c>
      <c r="E52" s="1" t="s">
        <v>148</v>
      </c>
      <c r="F52" s="1" t="s">
        <v>179</v>
      </c>
      <c r="G52" s="1"/>
      <c r="H52" s="1"/>
      <c r="I52" s="1" t="e">
        <f>_xlfn.XLOOKUP(H52,'rank lookup'!$A$1:$A$21,'rank lookup'!$B$1:$B$21,,0)</f>
        <v>#N/A</v>
      </c>
      <c r="J52" s="1"/>
      <c r="K52" s="23">
        <v>189</v>
      </c>
      <c r="L52" s="23">
        <v>161</v>
      </c>
      <c r="M52" s="5">
        <f t="shared" si="12"/>
        <v>45.071526553008034</v>
      </c>
      <c r="N52" s="4">
        <f t="shared" si="13"/>
        <v>74.409448818897644</v>
      </c>
      <c r="O52">
        <f t="shared" si="14"/>
        <v>6</v>
      </c>
      <c r="P52">
        <f t="shared" si="15"/>
        <v>2.4</v>
      </c>
      <c r="Q52" t="str">
        <f t="shared" si="16"/>
        <v>6' 2.4"</v>
      </c>
      <c r="R52">
        <f t="shared" si="17"/>
        <v>355</v>
      </c>
    </row>
    <row r="53" spans="1:18">
      <c r="A53" t="s">
        <v>119</v>
      </c>
      <c r="E53" s="1" t="s">
        <v>154</v>
      </c>
      <c r="F53" s="1" t="s">
        <v>169</v>
      </c>
      <c r="G53" s="1" t="s">
        <v>180</v>
      </c>
      <c r="H53" s="1" t="s">
        <v>246</v>
      </c>
      <c r="I53" s="1" t="e">
        <f>_xlfn.XLOOKUP(H53,'rank lookup'!$A$1:$A$21,'rank lookup'!$B$1:$B$21,,0)</f>
        <v>#N/A</v>
      </c>
      <c r="J53" s="1"/>
      <c r="K53" s="23">
        <v>178</v>
      </c>
      <c r="L53" s="23">
        <v>166</v>
      </c>
      <c r="M53" s="5">
        <f t="shared" si="12"/>
        <v>52.392374700164119</v>
      </c>
      <c r="N53" s="4">
        <f t="shared" si="13"/>
        <v>70.078740157480311</v>
      </c>
      <c r="O53">
        <f t="shared" si="14"/>
        <v>5</v>
      </c>
      <c r="P53">
        <f t="shared" si="15"/>
        <v>10.1</v>
      </c>
      <c r="Q53" t="str">
        <f t="shared" si="16"/>
        <v>5' 10.1"</v>
      </c>
      <c r="R53">
        <f t="shared" si="17"/>
        <v>366</v>
      </c>
    </row>
    <row r="54" spans="1:18">
      <c r="A54" s="1" t="s">
        <v>113</v>
      </c>
      <c r="B54" s="1"/>
      <c r="C54" s="1" t="s">
        <v>147</v>
      </c>
      <c r="D54" s="1" t="s">
        <v>148</v>
      </c>
      <c r="E54" s="1" t="s">
        <v>179</v>
      </c>
      <c r="F54" s="1"/>
      <c r="G54" s="1"/>
      <c r="H54" s="1"/>
      <c r="I54" s="1" t="e">
        <f>_xlfn.XLOOKUP(H54,'rank lookup'!$A$1:$A$21,'rank lookup'!$B$1:$B$21,,0)</f>
        <v>#N/A</v>
      </c>
      <c r="J54" s="1"/>
      <c r="K54" s="23">
        <v>181</v>
      </c>
      <c r="L54" s="23">
        <v>189</v>
      </c>
      <c r="M54" s="5">
        <f t="shared" si="12"/>
        <v>57.690546686609082</v>
      </c>
      <c r="N54" s="4">
        <f t="shared" si="13"/>
        <v>71.259842519685037</v>
      </c>
      <c r="O54">
        <f t="shared" si="14"/>
        <v>5</v>
      </c>
      <c r="P54">
        <f t="shared" si="15"/>
        <v>11.3</v>
      </c>
      <c r="Q54" t="str">
        <f t="shared" si="16"/>
        <v>5' 11.3"</v>
      </c>
      <c r="R54">
        <f t="shared" si="17"/>
        <v>417</v>
      </c>
    </row>
    <row r="55" spans="1:18">
      <c r="A55" s="1" t="s">
        <v>168</v>
      </c>
      <c r="D55" t="s">
        <v>152</v>
      </c>
      <c r="E55" s="1" t="s">
        <v>170</v>
      </c>
      <c r="F55" s="1" t="s">
        <v>187</v>
      </c>
      <c r="G55" s="1" t="s">
        <v>187</v>
      </c>
      <c r="H55" s="1" t="s">
        <v>241</v>
      </c>
      <c r="I55" s="1" t="e">
        <f>_xlfn.XLOOKUP(H55,'rank lookup'!$A$1:$A$21,'rank lookup'!$B$1:$B$21,,0)</f>
        <v>#N/A</v>
      </c>
      <c r="K55" s="23">
        <v>185</v>
      </c>
      <c r="L55" s="23">
        <v>174</v>
      </c>
      <c r="M55" s="5">
        <f t="shared" si="12"/>
        <v>50.840029218407601</v>
      </c>
      <c r="N55" s="4">
        <f t="shared" si="13"/>
        <v>72.834645669291348</v>
      </c>
      <c r="O55">
        <f t="shared" si="14"/>
        <v>6</v>
      </c>
      <c r="P55">
        <f t="shared" si="15"/>
        <v>0.8</v>
      </c>
      <c r="Q55" t="str">
        <f t="shared" si="16"/>
        <v>6' 0.8"</v>
      </c>
      <c r="R55">
        <f t="shared" si="17"/>
        <v>384</v>
      </c>
    </row>
    <row r="56" spans="1:18">
      <c r="A56" s="1" t="s">
        <v>126</v>
      </c>
      <c r="B56" s="1"/>
      <c r="C56" s="1" t="s">
        <v>152</v>
      </c>
      <c r="D56" s="1" t="s">
        <v>154</v>
      </c>
      <c r="E56" s="1" t="s">
        <v>180</v>
      </c>
      <c r="F56" s="1" t="s">
        <v>194</v>
      </c>
      <c r="G56" s="1" t="s">
        <v>233</v>
      </c>
      <c r="H56" s="1"/>
      <c r="I56" s="1" t="e">
        <f>_xlfn.XLOOKUP(H56,'rank lookup'!$A$1:$A$21,'rank lookup'!$B$1:$B$21,,0)</f>
        <v>#N/A</v>
      </c>
      <c r="J56" s="1"/>
      <c r="K56" s="23">
        <v>169</v>
      </c>
      <c r="L56" s="23">
        <v>107</v>
      </c>
      <c r="M56" s="5">
        <f t="shared" si="12"/>
        <v>37.463674241098005</v>
      </c>
      <c r="N56" s="4">
        <f t="shared" si="13"/>
        <v>66.535433070866134</v>
      </c>
      <c r="O56">
        <f t="shared" si="14"/>
        <v>5</v>
      </c>
      <c r="P56">
        <f t="shared" si="15"/>
        <v>6.5</v>
      </c>
      <c r="Q56" t="str">
        <f t="shared" si="16"/>
        <v>5' 6.5"</v>
      </c>
      <c r="R56">
        <f t="shared" si="17"/>
        <v>236</v>
      </c>
    </row>
    <row r="57" spans="1:18">
      <c r="A57" s="1" t="s">
        <v>107</v>
      </c>
      <c r="B57" s="1"/>
      <c r="C57" s="1" t="s">
        <v>151</v>
      </c>
      <c r="D57" s="1" t="s">
        <v>169</v>
      </c>
      <c r="E57" s="1" t="s">
        <v>179</v>
      </c>
      <c r="F57" s="1"/>
      <c r="G57" s="1"/>
      <c r="H57" s="1"/>
      <c r="I57" s="1" t="e">
        <f>_xlfn.XLOOKUP(H57,'rank lookup'!$A$1:$A$21,'rank lookup'!$B$1:$B$21,,0)</f>
        <v>#N/A</v>
      </c>
      <c r="J57" s="1"/>
      <c r="K57" s="23">
        <v>185</v>
      </c>
      <c r="L57" s="23">
        <v>181</v>
      </c>
      <c r="M57" s="5">
        <f t="shared" si="12"/>
        <v>52.885317750182615</v>
      </c>
      <c r="N57" s="4">
        <f t="shared" si="13"/>
        <v>72.834645669291348</v>
      </c>
      <c r="O57">
        <f t="shared" si="14"/>
        <v>6</v>
      </c>
      <c r="P57">
        <f t="shared" si="15"/>
        <v>0.8</v>
      </c>
      <c r="Q57" t="str">
        <f t="shared" si="16"/>
        <v>6' 0.8"</v>
      </c>
      <c r="R57">
        <f t="shared" si="17"/>
        <v>399</v>
      </c>
    </row>
    <row r="58" spans="1:18">
      <c r="A58" s="1" t="s">
        <v>248</v>
      </c>
      <c r="K58" s="23">
        <v>190.5</v>
      </c>
      <c r="L58" s="23">
        <v>97.5</v>
      </c>
      <c r="M58" s="5">
        <f t="shared" si="12"/>
        <v>26.866720400107468</v>
      </c>
      <c r="N58" s="4">
        <f t="shared" si="13"/>
        <v>75</v>
      </c>
      <c r="O58">
        <f t="shared" si="14"/>
        <v>6</v>
      </c>
      <c r="P58">
        <f t="shared" si="15"/>
        <v>3</v>
      </c>
      <c r="Q58" t="str">
        <f t="shared" si="16"/>
        <v>6' 3"</v>
      </c>
      <c r="R58">
        <f t="shared" si="17"/>
        <v>215</v>
      </c>
    </row>
  </sheetData>
  <autoFilter ref="A3:R55" xr:uid="{7067DD38-AD06-4250-9520-A2F29B57D9C0}">
    <sortState xmlns:xlrd2="http://schemas.microsoft.com/office/spreadsheetml/2017/richdata2" ref="A4:R57">
      <sortCondition ref="I3:I55"/>
    </sortState>
  </autoFilter>
  <hyperlinks>
    <hyperlink ref="C2" r:id="rId1" xr:uid="{7CA43C36-6E42-4EBE-93D2-AE22141CFDEB}"/>
    <hyperlink ref="K2" r:id="rId2" xr:uid="{A9FEE77A-E0AF-4A7D-8FA4-53B11415E245}"/>
  </hyperlinks>
  <pageMargins left="0.7" right="0.7" top="0.75" bottom="0.75" header="0.3" footer="0.3"/>
  <pageSetup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2331-E5CC-4D70-9BA8-CB5AD312447B}">
  <dimension ref="A1:AE58"/>
  <sheetViews>
    <sheetView tabSelected="1" zoomScaleNormal="100" workbookViewId="0">
      <pane xSplit="1" ySplit="3" topLeftCell="F4" activePane="bottomRight" state="frozen"/>
      <selection pane="topRight" activeCell="B1" sqref="B1"/>
      <selection pane="bottomLeft" activeCell="A4" sqref="A4"/>
      <selection pane="bottomRight" activeCell="K23" sqref="K23"/>
    </sheetView>
  </sheetViews>
  <sheetFormatPr defaultRowHeight="14.5" outlineLevelCol="1"/>
  <cols>
    <col min="1" max="1" width="21.1796875" customWidth="1"/>
    <col min="2" max="8" width="21.1796875" hidden="1" customWidth="1" outlineLevel="1"/>
    <col min="9" max="9" width="21.1796875" customWidth="1" collapsed="1"/>
    <col min="10" max="11" width="21.1796875" customWidth="1"/>
    <col min="14" max="14" width="11.26953125" bestFit="1" customWidth="1"/>
    <col min="15" max="15" width="8.7265625" style="4"/>
    <col min="22" max="22" width="9.54296875" customWidth="1"/>
  </cols>
  <sheetData>
    <row r="1" spans="1:31">
      <c r="C1" t="s">
        <v>174</v>
      </c>
      <c r="L1" t="s">
        <v>251</v>
      </c>
    </row>
    <row r="2" spans="1:31">
      <c r="C2" s="17" t="s">
        <v>162</v>
      </c>
      <c r="D2" s="17"/>
      <c r="E2" s="17"/>
      <c r="F2" s="17"/>
      <c r="G2" s="17"/>
      <c r="H2" s="17"/>
      <c r="I2" s="17"/>
      <c r="L2" s="17" t="s">
        <v>134</v>
      </c>
      <c r="T2">
        <f>MAX(T4:T45)</f>
        <v>42</v>
      </c>
      <c r="U2">
        <f>MAX(U4:U45)</f>
        <v>42</v>
      </c>
      <c r="V2">
        <f>MAX(V4:V45)</f>
        <v>42</v>
      </c>
    </row>
    <row r="3" spans="1:31">
      <c r="A3" t="s">
        <v>3</v>
      </c>
      <c r="B3" t="s">
        <v>11</v>
      </c>
      <c r="C3" t="s">
        <v>131</v>
      </c>
      <c r="D3" t="s">
        <v>163</v>
      </c>
      <c r="E3" t="s">
        <v>175</v>
      </c>
      <c r="F3" t="s">
        <v>185</v>
      </c>
      <c r="G3" t="s">
        <v>230</v>
      </c>
      <c r="H3" t="s">
        <v>237</v>
      </c>
      <c r="I3" t="s">
        <v>249</v>
      </c>
      <c r="J3" t="s">
        <v>177</v>
      </c>
      <c r="K3" t="s">
        <v>250</v>
      </c>
      <c r="L3" t="s">
        <v>5</v>
      </c>
      <c r="M3" t="s">
        <v>4</v>
      </c>
      <c r="N3" t="s">
        <v>26</v>
      </c>
      <c r="O3" s="4" t="s">
        <v>6</v>
      </c>
      <c r="P3" t="s">
        <v>7</v>
      </c>
      <c r="Q3" t="s">
        <v>8</v>
      </c>
      <c r="R3" t="s">
        <v>9</v>
      </c>
      <c r="S3" t="s">
        <v>10</v>
      </c>
      <c r="T3" t="s">
        <v>171</v>
      </c>
      <c r="U3" t="s">
        <v>172</v>
      </c>
      <c r="V3" t="s">
        <v>173</v>
      </c>
      <c r="X3" t="s">
        <v>5</v>
      </c>
      <c r="Y3" t="s">
        <v>4</v>
      </c>
      <c r="Z3" t="s">
        <v>26</v>
      </c>
      <c r="AA3" s="4" t="s">
        <v>6</v>
      </c>
      <c r="AB3" t="s">
        <v>7</v>
      </c>
      <c r="AC3" t="s">
        <v>8</v>
      </c>
      <c r="AD3" t="s">
        <v>9</v>
      </c>
      <c r="AE3" t="s">
        <v>10</v>
      </c>
    </row>
    <row r="4" spans="1:31">
      <c r="A4" s="1" t="s">
        <v>86</v>
      </c>
      <c r="B4" s="1">
        <v>8</v>
      </c>
      <c r="C4" s="1" t="s">
        <v>14</v>
      </c>
      <c r="D4" s="1" t="s">
        <v>14</v>
      </c>
      <c r="E4" s="1" t="s">
        <v>14</v>
      </c>
      <c r="F4" s="1" t="s">
        <v>14</v>
      </c>
      <c r="G4" s="1" t="s">
        <v>14</v>
      </c>
      <c r="H4" s="1" t="s">
        <v>14</v>
      </c>
      <c r="I4" s="1" t="s">
        <v>14</v>
      </c>
      <c r="J4" s="1">
        <f>_xlfn.XLOOKUP(I4,'rank lookup'!$A$1:$A$21,'rank lookup'!$B$1:$B$21,,0)</f>
        <v>1</v>
      </c>
      <c r="K4" s="1"/>
      <c r="L4" s="25">
        <v>192</v>
      </c>
      <c r="M4" s="25">
        <v>174</v>
      </c>
      <c r="N4" s="5">
        <f>M4/(L4*L4)*10000</f>
        <v>47.200520833333329</v>
      </c>
      <c r="O4" s="4">
        <f>CONVERT(L4,"cm","in")</f>
        <v>75.59055118110237</v>
      </c>
      <c r="P4">
        <f>_xlfn.FLOOR.MATH(O4/12)</f>
        <v>6</v>
      </c>
      <c r="Q4">
        <f>ROUND(O4-P4*12,1)</f>
        <v>3.6</v>
      </c>
      <c r="R4" t="str">
        <f>P4&amp;"' "&amp;Q4&amp;""""</f>
        <v>6' 3.6"</v>
      </c>
      <c r="S4">
        <f>ROUND(CONVERT(M4,"kg","lbm"),0)</f>
        <v>384</v>
      </c>
      <c r="T4">
        <f>_xlfn.RANK.EQ(L4,L$4:L$45)</f>
        <v>4</v>
      </c>
      <c r="U4">
        <f>_xlfn.RANK.EQ(M4,M$4:M$45)</f>
        <v>12</v>
      </c>
      <c r="V4">
        <f>_xlfn.RANK.EQ(N4,N$4:N$45)</f>
        <v>22</v>
      </c>
      <c r="X4">
        <f>L22-L16</f>
        <v>4</v>
      </c>
      <c r="Y4">
        <f t="shared" ref="Y4:AE4" si="0">M22-M16</f>
        <v>18</v>
      </c>
      <c r="Z4">
        <f t="shared" si="0"/>
        <v>2.9030682799165746</v>
      </c>
      <c r="AA4">
        <f t="shared" si="0"/>
        <v>1.5748031496062964</v>
      </c>
      <c r="AB4">
        <f t="shared" si="0"/>
        <v>0</v>
      </c>
      <c r="AC4">
        <f t="shared" si="0"/>
        <v>1.6</v>
      </c>
      <c r="AD4" t="e">
        <f t="shared" si="0"/>
        <v>#VALUE!</v>
      </c>
      <c r="AE4">
        <f t="shared" si="0"/>
        <v>40</v>
      </c>
    </row>
    <row r="5" spans="1:31">
      <c r="A5" s="1" t="s">
        <v>123</v>
      </c>
      <c r="B5" s="1">
        <v>2</v>
      </c>
      <c r="C5" s="1" t="s">
        <v>39</v>
      </c>
      <c r="D5" s="1" t="s">
        <v>39</v>
      </c>
      <c r="E5" s="1" t="s">
        <v>39</v>
      </c>
      <c r="F5" s="1" t="s">
        <v>39</v>
      </c>
      <c r="G5" s="1" t="s">
        <v>39</v>
      </c>
      <c r="H5" s="1" t="s">
        <v>39</v>
      </c>
      <c r="I5" s="1" t="s">
        <v>39</v>
      </c>
      <c r="J5" s="1">
        <f>_xlfn.XLOOKUP(I5,'rank lookup'!$A$1:$A$21,'rank lookup'!$B$1:$B$21,,0)</f>
        <v>2</v>
      </c>
      <c r="K5" s="1"/>
      <c r="L5" s="25">
        <v>175</v>
      </c>
      <c r="M5" s="25">
        <v>165</v>
      </c>
      <c r="N5" s="5">
        <f>M5/(L5*L5)*10000</f>
        <v>53.877551020408163</v>
      </c>
      <c r="O5" s="4">
        <f>CONVERT(L5,"cm","in")</f>
        <v>68.897637795275585</v>
      </c>
      <c r="P5">
        <f>_xlfn.FLOOR.MATH(O5/12)</f>
        <v>5</v>
      </c>
      <c r="Q5">
        <f>ROUND(O5-P5*12,1)</f>
        <v>8.9</v>
      </c>
      <c r="R5" t="str">
        <f>P5&amp;"' "&amp;Q5&amp;""""</f>
        <v>5' 8.9"</v>
      </c>
      <c r="S5">
        <f>ROUND(CONVERT(M5,"kg","lbm"),0)</f>
        <v>364</v>
      </c>
      <c r="T5">
        <f t="shared" ref="T5:V45" si="1">_xlfn.RANK.EQ(L5,L$4:L$45)</f>
        <v>39</v>
      </c>
      <c r="U5">
        <f t="shared" si="1"/>
        <v>18</v>
      </c>
      <c r="V5">
        <f t="shared" si="1"/>
        <v>3</v>
      </c>
    </row>
    <row r="6" spans="1:31">
      <c r="A6" s="1" t="s">
        <v>239</v>
      </c>
      <c r="B6" s="1"/>
      <c r="C6" s="1" t="s">
        <v>42</v>
      </c>
      <c r="D6" s="1" t="s">
        <v>42</v>
      </c>
      <c r="E6" s="1" t="s">
        <v>42</v>
      </c>
      <c r="F6" s="1" t="s">
        <v>31</v>
      </c>
      <c r="G6" s="1" t="s">
        <v>31</v>
      </c>
      <c r="H6" s="1" t="s">
        <v>39</v>
      </c>
      <c r="I6" s="1" t="s">
        <v>39</v>
      </c>
      <c r="J6" s="1">
        <f>_xlfn.XLOOKUP(I6,'rank lookup'!$A$1:$A$21,'rank lookup'!$B$1:$B$21,,0)</f>
        <v>2</v>
      </c>
      <c r="K6" s="1"/>
      <c r="L6" s="25">
        <v>186</v>
      </c>
      <c r="M6" s="25">
        <v>143</v>
      </c>
      <c r="N6" s="5">
        <f>M6/(L6*L6)*10000</f>
        <v>41.334258295756733</v>
      </c>
      <c r="O6" s="4">
        <f>CONVERT(L6,"cm","in")</f>
        <v>73.228346456692918</v>
      </c>
      <c r="P6">
        <f>_xlfn.FLOOR.MATH(O6/12)</f>
        <v>6</v>
      </c>
      <c r="Q6">
        <f>ROUND(O6-P6*12,1)</f>
        <v>1.2</v>
      </c>
      <c r="R6" t="str">
        <f>P6&amp;"' "&amp;Q6&amp;""""</f>
        <v>6' 1.2"</v>
      </c>
      <c r="S6">
        <f>ROUND(CONVERT(M6,"kg","lbm"),0)</f>
        <v>315</v>
      </c>
      <c r="T6">
        <f t="shared" si="1"/>
        <v>17</v>
      </c>
      <c r="U6">
        <f t="shared" si="1"/>
        <v>34</v>
      </c>
      <c r="V6">
        <f t="shared" si="1"/>
        <v>39</v>
      </c>
    </row>
    <row r="7" spans="1:31">
      <c r="A7" s="1" t="s">
        <v>95</v>
      </c>
      <c r="B7" s="1">
        <v>1</v>
      </c>
      <c r="C7" s="1" t="s">
        <v>31</v>
      </c>
      <c r="D7" s="1" t="s">
        <v>31</v>
      </c>
      <c r="E7" s="1" t="s">
        <v>31</v>
      </c>
      <c r="F7" s="1" t="s">
        <v>31</v>
      </c>
      <c r="G7" s="1" t="s">
        <v>31</v>
      </c>
      <c r="H7" s="1" t="s">
        <v>31</v>
      </c>
      <c r="I7" s="1" t="s">
        <v>39</v>
      </c>
      <c r="J7" s="1">
        <f>_xlfn.XLOOKUP(I7,'rank lookup'!$A$1:$A$21,'rank lookup'!$B$1:$B$21,,0)</f>
        <v>2</v>
      </c>
      <c r="K7" s="1"/>
      <c r="L7" s="25">
        <v>188</v>
      </c>
      <c r="M7" s="25">
        <v>142</v>
      </c>
      <c r="N7" s="5">
        <f>M7/(L7*L7)*10000</f>
        <v>40.176550475328199</v>
      </c>
      <c r="O7" s="4">
        <f>CONVERT(L7,"cm","in")</f>
        <v>74.015748031496059</v>
      </c>
      <c r="P7">
        <f>_xlfn.FLOOR.MATH(O7/12)</f>
        <v>6</v>
      </c>
      <c r="Q7">
        <f>ROUND(O7-P7*12,1)</f>
        <v>2</v>
      </c>
      <c r="R7" t="str">
        <f>P7&amp;"' "&amp;Q7&amp;""""</f>
        <v>6' 2"</v>
      </c>
      <c r="S7">
        <f>ROUND(CONVERT(M7,"kg","lbm"),0)</f>
        <v>313</v>
      </c>
      <c r="T7">
        <f t="shared" si="1"/>
        <v>12</v>
      </c>
      <c r="U7">
        <f t="shared" si="1"/>
        <v>36</v>
      </c>
      <c r="V7">
        <f t="shared" si="1"/>
        <v>41</v>
      </c>
    </row>
    <row r="8" spans="1:31">
      <c r="A8" s="1" t="s">
        <v>100</v>
      </c>
      <c r="B8" s="1"/>
      <c r="C8" s="1" t="s">
        <v>141</v>
      </c>
      <c r="D8" s="1" t="s">
        <v>139</v>
      </c>
      <c r="E8" s="1" t="s">
        <v>42</v>
      </c>
      <c r="F8" s="1" t="s">
        <v>42</v>
      </c>
      <c r="G8" s="1" t="s">
        <v>31</v>
      </c>
      <c r="H8" s="1" t="s">
        <v>31</v>
      </c>
      <c r="I8" s="1" t="s">
        <v>31</v>
      </c>
      <c r="J8" s="1">
        <f>_xlfn.XLOOKUP(I8,'rank lookup'!$A$1:$A$21,'rank lookup'!$B$1:$B$21,,0)</f>
        <v>3</v>
      </c>
      <c r="K8" s="1"/>
      <c r="L8" s="25">
        <v>187</v>
      </c>
      <c r="M8" s="25">
        <v>147</v>
      </c>
      <c r="N8" s="5">
        <f>M8/(L8*L8)*10000</f>
        <v>42.03723297778032</v>
      </c>
      <c r="O8" s="4">
        <f>CONVERT(L8,"cm","in")</f>
        <v>73.622047244094489</v>
      </c>
      <c r="P8">
        <f>_xlfn.FLOOR.MATH(O8/12)</f>
        <v>6</v>
      </c>
      <c r="Q8">
        <f>ROUND(O8-P8*12,1)</f>
        <v>1.6</v>
      </c>
      <c r="R8" t="str">
        <f>P8&amp;"' "&amp;Q8&amp;""""</f>
        <v>6' 1.6"</v>
      </c>
      <c r="S8">
        <f>ROUND(CONVERT(M8,"kg","lbm"),0)</f>
        <v>324</v>
      </c>
      <c r="T8">
        <f t="shared" si="1"/>
        <v>16</v>
      </c>
      <c r="U8">
        <f t="shared" si="1"/>
        <v>33</v>
      </c>
      <c r="V8">
        <f t="shared" si="1"/>
        <v>37</v>
      </c>
    </row>
    <row r="9" spans="1:31">
      <c r="A9" s="1" t="s">
        <v>112</v>
      </c>
      <c r="B9" s="1">
        <v>1</v>
      </c>
      <c r="C9" s="1" t="s">
        <v>31</v>
      </c>
      <c r="D9" s="1" t="s">
        <v>42</v>
      </c>
      <c r="E9" s="1" t="s">
        <v>132</v>
      </c>
      <c r="F9" s="1" t="s">
        <v>42</v>
      </c>
      <c r="G9" s="1" t="s">
        <v>31</v>
      </c>
      <c r="H9" s="1" t="s">
        <v>31</v>
      </c>
      <c r="I9" s="1" t="s">
        <v>31</v>
      </c>
      <c r="J9" s="1">
        <f>_xlfn.XLOOKUP(I9,'rank lookup'!$A$1:$A$21,'rank lookup'!$B$1:$B$21,,0)</f>
        <v>3</v>
      </c>
      <c r="K9" s="1"/>
      <c r="L9" s="25">
        <v>182</v>
      </c>
      <c r="M9" s="25">
        <v>164</v>
      </c>
      <c r="N9" s="5">
        <f>M9/(L9*L9)*10000</f>
        <v>49.510928631807751</v>
      </c>
      <c r="O9" s="4">
        <f>CONVERT(L9,"cm","in")</f>
        <v>71.653543307086608</v>
      </c>
      <c r="P9">
        <f>_xlfn.FLOOR.MATH(O9/12)</f>
        <v>5</v>
      </c>
      <c r="Q9">
        <f>ROUND(O9-P9*12,1)</f>
        <v>11.7</v>
      </c>
      <c r="R9" t="str">
        <f>P9&amp;"' "&amp;Q9&amp;""""</f>
        <v>5' 11.7"</v>
      </c>
      <c r="S9">
        <f>ROUND(CONVERT(M9,"kg","lbm"),0)</f>
        <v>362</v>
      </c>
      <c r="T9">
        <f t="shared" si="1"/>
        <v>30</v>
      </c>
      <c r="U9">
        <f t="shared" si="1"/>
        <v>20</v>
      </c>
      <c r="V9">
        <f t="shared" si="1"/>
        <v>13</v>
      </c>
    </row>
    <row r="10" spans="1:31">
      <c r="A10" s="1" t="s">
        <v>94</v>
      </c>
      <c r="B10" s="1"/>
      <c r="C10" s="1" t="s">
        <v>136</v>
      </c>
      <c r="D10" s="1" t="s">
        <v>132</v>
      </c>
      <c r="E10" s="1" t="s">
        <v>42</v>
      </c>
      <c r="F10" s="1" t="s">
        <v>42</v>
      </c>
      <c r="G10" s="1" t="s">
        <v>42</v>
      </c>
      <c r="H10" s="1" t="s">
        <v>42</v>
      </c>
      <c r="I10" s="1" t="s">
        <v>31</v>
      </c>
      <c r="J10" s="1">
        <f>_xlfn.XLOOKUP(I10,'rank lookup'!$A$1:$A$21,'rank lookup'!$B$1:$B$21,,0)</f>
        <v>3</v>
      </c>
      <c r="K10" s="1"/>
      <c r="L10" s="25">
        <v>189</v>
      </c>
      <c r="M10" s="25">
        <v>176</v>
      </c>
      <c r="N10" s="5">
        <f>M10/(L10*L10)*10000</f>
        <v>49.270737101424935</v>
      </c>
      <c r="O10" s="4">
        <f>CONVERT(L10,"cm","in")</f>
        <v>74.409448818897644</v>
      </c>
      <c r="P10">
        <f>_xlfn.FLOOR.MATH(O10/12)</f>
        <v>6</v>
      </c>
      <c r="Q10">
        <f>ROUND(O10-P10*12,1)</f>
        <v>2.4</v>
      </c>
      <c r="R10" t="str">
        <f>P10&amp;"' "&amp;Q10&amp;""""</f>
        <v>6' 2.4"</v>
      </c>
      <c r="S10">
        <f>ROUND(CONVERT(M10,"kg","lbm"),0)</f>
        <v>388</v>
      </c>
      <c r="T10">
        <f t="shared" si="1"/>
        <v>9</v>
      </c>
      <c r="U10">
        <f t="shared" si="1"/>
        <v>10</v>
      </c>
      <c r="V10">
        <f t="shared" si="1"/>
        <v>16</v>
      </c>
    </row>
    <row r="11" spans="1:31">
      <c r="A11" s="1" t="s">
        <v>124</v>
      </c>
      <c r="B11" s="1"/>
      <c r="C11" s="1" t="s">
        <v>132</v>
      </c>
      <c r="D11" s="1" t="s">
        <v>42</v>
      </c>
      <c r="E11" s="1" t="s">
        <v>132</v>
      </c>
      <c r="F11" s="1" t="s">
        <v>42</v>
      </c>
      <c r="G11" s="1" t="s">
        <v>137</v>
      </c>
      <c r="H11" s="1" t="s">
        <v>132</v>
      </c>
      <c r="I11" s="1" t="s">
        <v>42</v>
      </c>
      <c r="J11" s="1">
        <f>_xlfn.XLOOKUP(I11,'rank lookup'!$A$1:$A$21,'rank lookup'!$B$1:$B$21,,0)</f>
        <v>4</v>
      </c>
      <c r="K11" s="1"/>
      <c r="L11" s="25">
        <v>174</v>
      </c>
      <c r="M11" s="25">
        <v>135</v>
      </c>
      <c r="N11" s="5">
        <f>M11/(L11*L11)*10000</f>
        <v>44.589774078478001</v>
      </c>
      <c r="O11" s="4">
        <f>CONVERT(L11,"cm","in")</f>
        <v>68.503937007874015</v>
      </c>
      <c r="P11">
        <f>_xlfn.FLOOR.MATH(O11/12)</f>
        <v>5</v>
      </c>
      <c r="Q11">
        <f>ROUND(O11-P11*12,1)</f>
        <v>8.5</v>
      </c>
      <c r="R11" t="str">
        <f>P11&amp;"' "&amp;Q11&amp;""""</f>
        <v>5' 8.5"</v>
      </c>
      <c r="S11">
        <f>ROUND(CONVERT(M11,"kg","lbm"),0)</f>
        <v>298</v>
      </c>
      <c r="T11">
        <f t="shared" si="1"/>
        <v>41</v>
      </c>
      <c r="U11">
        <f t="shared" si="1"/>
        <v>39</v>
      </c>
      <c r="V11">
        <f t="shared" si="1"/>
        <v>27</v>
      </c>
    </row>
    <row r="12" spans="1:31">
      <c r="A12" s="1" t="s">
        <v>138</v>
      </c>
      <c r="C12" s="1" t="s">
        <v>139</v>
      </c>
      <c r="D12" s="1" t="s">
        <v>141</v>
      </c>
      <c r="E12" s="1" t="s">
        <v>140</v>
      </c>
      <c r="F12" s="1" t="s">
        <v>137</v>
      </c>
      <c r="G12" s="1" t="s">
        <v>139</v>
      </c>
      <c r="H12" s="1" t="s">
        <v>132</v>
      </c>
      <c r="I12" s="1" t="s">
        <v>42</v>
      </c>
      <c r="J12" s="1">
        <f>_xlfn.XLOOKUP(I12,'rank lookup'!$A$1:$A$21,'rank lookup'!$B$1:$B$21,,0)</f>
        <v>4</v>
      </c>
      <c r="K12" s="1"/>
      <c r="L12" s="25">
        <v>185</v>
      </c>
      <c r="M12" s="25">
        <v>180</v>
      </c>
      <c r="N12" s="5">
        <f>M12/(L12*L12)*10000</f>
        <v>52.593133674214762</v>
      </c>
      <c r="O12" s="4">
        <f>CONVERT(L12,"cm","in")</f>
        <v>72.834645669291348</v>
      </c>
      <c r="P12">
        <f>_xlfn.FLOOR.MATH(O12/12)</f>
        <v>6</v>
      </c>
      <c r="Q12">
        <f>ROUND(O12-P12*12,1)</f>
        <v>0.8</v>
      </c>
      <c r="R12" t="str">
        <f>P12&amp;"' "&amp;Q12&amp;""""</f>
        <v>6' 0.8"</v>
      </c>
      <c r="S12">
        <f>ROUND(CONVERT(M12,"kg","lbm"),0)</f>
        <v>397</v>
      </c>
      <c r="T12">
        <f t="shared" si="1"/>
        <v>20</v>
      </c>
      <c r="U12">
        <f t="shared" si="1"/>
        <v>8</v>
      </c>
      <c r="V12">
        <f t="shared" si="1"/>
        <v>6</v>
      </c>
    </row>
    <row r="13" spans="1:31">
      <c r="A13" s="1" t="s">
        <v>117</v>
      </c>
      <c r="B13" s="1"/>
      <c r="C13" s="1" t="s">
        <v>136</v>
      </c>
      <c r="D13" s="1" t="s">
        <v>136</v>
      </c>
      <c r="E13" s="1" t="s">
        <v>42</v>
      </c>
      <c r="F13" s="1" t="s">
        <v>139</v>
      </c>
      <c r="G13" s="1" t="s">
        <v>141</v>
      </c>
      <c r="H13" s="1" t="s">
        <v>137</v>
      </c>
      <c r="I13" s="1" t="s">
        <v>132</v>
      </c>
      <c r="J13" s="1">
        <f>_xlfn.XLOOKUP(I13,'rank lookup'!$A$1:$A$21,'rank lookup'!$B$1:$B$21,,0)</f>
        <v>5</v>
      </c>
      <c r="K13" s="1"/>
      <c r="L13" s="25">
        <v>180</v>
      </c>
      <c r="M13" s="25">
        <v>154</v>
      </c>
      <c r="N13" s="5">
        <f>M13/(L13*L13)*10000</f>
        <v>47.530864197530867</v>
      </c>
      <c r="O13" s="4">
        <f>CONVERT(L13,"cm","in")</f>
        <v>70.866141732283467</v>
      </c>
      <c r="P13">
        <f>_xlfn.FLOOR.MATH(O13/12)</f>
        <v>5</v>
      </c>
      <c r="Q13">
        <f>ROUND(O13-P13*12,1)</f>
        <v>10.9</v>
      </c>
      <c r="R13" t="str">
        <f>P13&amp;"' "&amp;Q13&amp;""""</f>
        <v>5' 10.9"</v>
      </c>
      <c r="S13">
        <f>ROUND(CONVERT(M13,"kg","lbm"),0)</f>
        <v>340</v>
      </c>
      <c r="T13">
        <f t="shared" si="1"/>
        <v>33</v>
      </c>
      <c r="U13">
        <f t="shared" si="1"/>
        <v>29</v>
      </c>
      <c r="V13">
        <f t="shared" si="1"/>
        <v>21</v>
      </c>
    </row>
    <row r="14" spans="1:31">
      <c r="A14" s="1" t="s">
        <v>103</v>
      </c>
      <c r="B14" s="1"/>
      <c r="C14" s="1" t="s">
        <v>142</v>
      </c>
      <c r="D14" s="1" t="s">
        <v>140</v>
      </c>
      <c r="E14" s="1" t="s">
        <v>141</v>
      </c>
      <c r="F14" s="1" t="s">
        <v>135</v>
      </c>
      <c r="G14" s="1" t="s">
        <v>135</v>
      </c>
      <c r="H14" s="1" t="s">
        <v>143</v>
      </c>
      <c r="I14" s="1" t="s">
        <v>132</v>
      </c>
      <c r="J14" s="1">
        <f>_xlfn.XLOOKUP(I14,'rank lookup'!$A$1:$A$21,'rank lookup'!$B$1:$B$21,,0)</f>
        <v>5</v>
      </c>
      <c r="K14" s="1"/>
      <c r="L14" s="25">
        <v>184</v>
      </c>
      <c r="M14" s="25">
        <v>158</v>
      </c>
      <c r="N14" s="5">
        <f>M14/(L14*L14)*10000</f>
        <v>46.668241965973536</v>
      </c>
      <c r="O14" s="4">
        <f>CONVERT(L14,"cm","in")</f>
        <v>72.440944881889763</v>
      </c>
      <c r="P14">
        <f>_xlfn.FLOOR.MATH(O14/12)</f>
        <v>6</v>
      </c>
      <c r="Q14">
        <f>ROUND(O14-P14*12,1)</f>
        <v>0.4</v>
      </c>
      <c r="R14" t="str">
        <f>P14&amp;"' "&amp;Q14&amp;""""</f>
        <v>6' 0.4"</v>
      </c>
      <c r="S14">
        <f>ROUND(CONVERT(M14,"kg","lbm"),0)</f>
        <v>348</v>
      </c>
      <c r="T14">
        <f t="shared" si="1"/>
        <v>24</v>
      </c>
      <c r="U14">
        <f t="shared" si="1"/>
        <v>24</v>
      </c>
      <c r="V14">
        <f t="shared" si="1"/>
        <v>25</v>
      </c>
    </row>
    <row r="15" spans="1:31">
      <c r="A15" s="1" t="s">
        <v>93</v>
      </c>
      <c r="B15" s="1">
        <v>1</v>
      </c>
      <c r="C15" s="1" t="s">
        <v>42</v>
      </c>
      <c r="D15" s="1" t="s">
        <v>143</v>
      </c>
      <c r="E15" s="1" t="s">
        <v>137</v>
      </c>
      <c r="F15" s="1" t="s">
        <v>136</v>
      </c>
      <c r="G15" s="1" t="s">
        <v>132</v>
      </c>
      <c r="H15" s="1" t="s">
        <v>42</v>
      </c>
      <c r="I15" s="1" t="s">
        <v>136</v>
      </c>
      <c r="J15" s="1">
        <f>_xlfn.XLOOKUP(I15,'rank lookup'!$A$1:$A$21,'rank lookup'!$B$1:$B$21,,0)</f>
        <v>6</v>
      </c>
      <c r="K15" s="1"/>
      <c r="L15" s="25">
        <v>186</v>
      </c>
      <c r="M15" s="25">
        <v>158</v>
      </c>
      <c r="N15" s="5">
        <f>M15/(L15*L15)*10000</f>
        <v>45.670019655451505</v>
      </c>
      <c r="O15" s="4">
        <f>CONVERT(L15,"cm","in")</f>
        <v>73.228346456692918</v>
      </c>
      <c r="P15">
        <f>_xlfn.FLOOR.MATH(O15/12)</f>
        <v>6</v>
      </c>
      <c r="Q15">
        <f>ROUND(O15-P15*12,1)</f>
        <v>1.2</v>
      </c>
      <c r="R15" t="str">
        <f>P15&amp;"' "&amp;Q15&amp;""""</f>
        <v>6' 1.2"</v>
      </c>
      <c r="S15">
        <f>ROUND(CONVERT(M15,"kg","lbm"),0)</f>
        <v>348</v>
      </c>
      <c r="T15">
        <f t="shared" si="1"/>
        <v>17</v>
      </c>
      <c r="U15">
        <f t="shared" si="1"/>
        <v>24</v>
      </c>
      <c r="V15">
        <f t="shared" si="1"/>
        <v>26</v>
      </c>
    </row>
    <row r="16" spans="1:31">
      <c r="A16" s="1" t="s">
        <v>231</v>
      </c>
      <c r="G16" t="s">
        <v>151</v>
      </c>
      <c r="H16" t="s">
        <v>139</v>
      </c>
      <c r="I16" t="s">
        <v>136</v>
      </c>
      <c r="J16" s="1">
        <f>_xlfn.XLOOKUP(I16,'rank lookup'!$A$1:$A$21,'rank lookup'!$B$1:$B$21,,0)</f>
        <v>6</v>
      </c>
      <c r="L16" s="25">
        <v>189</v>
      </c>
      <c r="M16" s="25">
        <v>168</v>
      </c>
      <c r="N16" s="5">
        <f>M16/(L16*L16)*10000</f>
        <v>47.031158142269256</v>
      </c>
      <c r="O16" s="4">
        <f>CONVERT(L16,"cm","in")</f>
        <v>74.409448818897644</v>
      </c>
      <c r="P16">
        <f>_xlfn.FLOOR.MATH(O16/12)</f>
        <v>6</v>
      </c>
      <c r="Q16">
        <f>ROUND(O16-P16*12,1)</f>
        <v>2.4</v>
      </c>
      <c r="R16" t="str">
        <f>P16&amp;"' "&amp;Q16&amp;""""</f>
        <v>6' 2.4"</v>
      </c>
      <c r="S16">
        <f>ROUND(CONVERT(M16,"kg","lbm"),0)</f>
        <v>370</v>
      </c>
      <c r="T16">
        <f t="shared" si="1"/>
        <v>9</v>
      </c>
      <c r="U16">
        <f t="shared" si="1"/>
        <v>17</v>
      </c>
      <c r="V16">
        <f t="shared" si="1"/>
        <v>23</v>
      </c>
    </row>
    <row r="17" spans="1:22">
      <c r="A17" s="1" t="s">
        <v>109</v>
      </c>
      <c r="B17" s="1">
        <v>1</v>
      </c>
      <c r="C17" s="1" t="s">
        <v>39</v>
      </c>
      <c r="D17" s="1" t="s">
        <v>39</v>
      </c>
      <c r="E17" s="1" t="s">
        <v>31</v>
      </c>
      <c r="F17" s="1" t="s">
        <v>132</v>
      </c>
      <c r="G17" s="1" t="s">
        <v>42</v>
      </c>
      <c r="H17" s="1" t="s">
        <v>136</v>
      </c>
      <c r="I17" s="1" t="s">
        <v>137</v>
      </c>
      <c r="J17" s="1">
        <f>_xlfn.XLOOKUP(I17,'rank lookup'!$A$1:$A$21,'rank lookup'!$B$1:$B$21,,0)</f>
        <v>7</v>
      </c>
      <c r="K17" s="1"/>
      <c r="L17" s="25">
        <v>184</v>
      </c>
      <c r="M17" s="25">
        <v>161</v>
      </c>
      <c r="N17" s="5">
        <f>M17/(L17*L17)*10000</f>
        <v>47.554347826086961</v>
      </c>
      <c r="O17" s="4">
        <f>CONVERT(L17,"cm","in")</f>
        <v>72.440944881889763</v>
      </c>
      <c r="P17">
        <f>_xlfn.FLOOR.MATH(O17/12)</f>
        <v>6</v>
      </c>
      <c r="Q17">
        <f>ROUND(O17-P17*12,1)</f>
        <v>0.4</v>
      </c>
      <c r="R17" t="str">
        <f>P17&amp;"' "&amp;Q17&amp;""""</f>
        <v>6' 0.4"</v>
      </c>
      <c r="S17">
        <f>ROUND(CONVERT(M17,"kg","lbm"),0)</f>
        <v>355</v>
      </c>
      <c r="T17">
        <f t="shared" si="1"/>
        <v>24</v>
      </c>
      <c r="U17">
        <f t="shared" si="1"/>
        <v>22</v>
      </c>
      <c r="V17">
        <f t="shared" si="1"/>
        <v>20</v>
      </c>
    </row>
    <row r="18" spans="1:22">
      <c r="A18" s="1" t="s">
        <v>92</v>
      </c>
      <c r="B18" s="1">
        <v>2</v>
      </c>
      <c r="C18" s="1" t="s">
        <v>137</v>
      </c>
      <c r="D18" s="1" t="s">
        <v>42</v>
      </c>
      <c r="E18" s="1" t="s">
        <v>136</v>
      </c>
      <c r="F18" s="1" t="s">
        <v>132</v>
      </c>
      <c r="G18" s="1" t="s">
        <v>135</v>
      </c>
      <c r="H18" s="1" t="s">
        <v>135</v>
      </c>
      <c r="I18" s="1" t="s">
        <v>137</v>
      </c>
      <c r="J18" s="1">
        <f>_xlfn.XLOOKUP(I18,'rank lookup'!$A$1:$A$21,'rank lookup'!$B$1:$B$21,,0)</f>
        <v>7</v>
      </c>
      <c r="K18" s="1"/>
      <c r="L18" s="25">
        <v>189</v>
      </c>
      <c r="M18" s="25">
        <v>174</v>
      </c>
      <c r="N18" s="5">
        <f>M18/(L18*L18)*10000</f>
        <v>48.710842361636011</v>
      </c>
      <c r="O18" s="4">
        <f>CONVERT(L18,"cm","in")</f>
        <v>74.409448818897644</v>
      </c>
      <c r="P18">
        <f>_xlfn.FLOOR.MATH(O18/12)</f>
        <v>6</v>
      </c>
      <c r="Q18">
        <f>ROUND(O18-P18*12,1)</f>
        <v>2.4</v>
      </c>
      <c r="R18" t="str">
        <f>P18&amp;"' "&amp;Q18&amp;""""</f>
        <v>6' 2.4"</v>
      </c>
      <c r="S18">
        <f>ROUND(CONVERT(M18,"kg","lbm"),0)</f>
        <v>384</v>
      </c>
      <c r="T18">
        <f t="shared" si="1"/>
        <v>9</v>
      </c>
      <c r="U18">
        <f t="shared" si="1"/>
        <v>12</v>
      </c>
      <c r="V18">
        <f t="shared" si="1"/>
        <v>19</v>
      </c>
    </row>
    <row r="19" spans="1:22">
      <c r="A19" s="1" t="s">
        <v>121</v>
      </c>
      <c r="B19" s="1"/>
      <c r="C19" s="1" t="s">
        <v>137</v>
      </c>
      <c r="D19" s="1" t="s">
        <v>137</v>
      </c>
      <c r="E19" s="1" t="s">
        <v>135</v>
      </c>
      <c r="F19" s="1" t="s">
        <v>142</v>
      </c>
      <c r="G19" s="1" t="s">
        <v>139</v>
      </c>
      <c r="H19" s="1" t="s">
        <v>139</v>
      </c>
      <c r="I19" s="1" t="s">
        <v>139</v>
      </c>
      <c r="J19" s="1">
        <f>_xlfn.XLOOKUP(I19,'rank lookup'!$A$1:$A$21,'rank lookup'!$B$1:$B$21,,0)</f>
        <v>8</v>
      </c>
      <c r="K19" s="1"/>
      <c r="L19" s="25">
        <v>175</v>
      </c>
      <c r="M19" s="25">
        <v>143</v>
      </c>
      <c r="N19" s="5">
        <f>M19/(L19*L19)*10000</f>
        <v>46.693877551020407</v>
      </c>
      <c r="O19" s="4">
        <f>CONVERT(L19,"cm","in")</f>
        <v>68.897637795275585</v>
      </c>
      <c r="P19">
        <f>_xlfn.FLOOR.MATH(O19/12)</f>
        <v>5</v>
      </c>
      <c r="Q19">
        <f>ROUND(O19-P19*12,1)</f>
        <v>8.9</v>
      </c>
      <c r="R19" t="str">
        <f>P19&amp;"' "&amp;Q19&amp;""""</f>
        <v>5' 8.9"</v>
      </c>
      <c r="S19">
        <f>ROUND(CONVERT(M19,"kg","lbm"),0)</f>
        <v>315</v>
      </c>
      <c r="T19">
        <f t="shared" si="1"/>
        <v>39</v>
      </c>
      <c r="U19">
        <f t="shared" si="1"/>
        <v>34</v>
      </c>
      <c r="V19">
        <f t="shared" si="1"/>
        <v>24</v>
      </c>
    </row>
    <row r="20" spans="1:22">
      <c r="A20" s="1" t="s">
        <v>101</v>
      </c>
      <c r="B20" s="1"/>
      <c r="C20" s="1" t="s">
        <v>145</v>
      </c>
      <c r="D20" s="1" t="s">
        <v>143</v>
      </c>
      <c r="E20" s="1" t="s">
        <v>143</v>
      </c>
      <c r="F20" s="1" t="s">
        <v>147</v>
      </c>
      <c r="G20" s="1" t="s">
        <v>142</v>
      </c>
      <c r="H20" s="1" t="s">
        <v>143</v>
      </c>
      <c r="I20" s="1" t="s">
        <v>139</v>
      </c>
      <c r="J20" s="1">
        <f>_xlfn.XLOOKUP(I20,'rank lookup'!$A$1:$A$21,'rank lookup'!$B$1:$B$21,,0)</f>
        <v>8</v>
      </c>
      <c r="K20" s="1"/>
      <c r="L20" s="25">
        <v>183</v>
      </c>
      <c r="M20" s="25">
        <v>170</v>
      </c>
      <c r="N20" s="5">
        <f>M20/(L20*L20)*10000</f>
        <v>50.762937083818564</v>
      </c>
      <c r="O20" s="4">
        <f>CONVERT(L20,"cm","in")</f>
        <v>72.047244094488192</v>
      </c>
      <c r="P20">
        <f>_xlfn.FLOOR.MATH(O20/12)</f>
        <v>6</v>
      </c>
      <c r="Q20">
        <f>ROUND(O20-P20*12,1)</f>
        <v>0</v>
      </c>
      <c r="R20" t="str">
        <f>P20&amp;"' "&amp;Q20&amp;""""</f>
        <v>6' 0"</v>
      </c>
      <c r="S20">
        <f>ROUND(CONVERT(M20,"kg","lbm"),0)</f>
        <v>375</v>
      </c>
      <c r="T20">
        <f t="shared" si="1"/>
        <v>29</v>
      </c>
      <c r="U20">
        <f t="shared" si="1"/>
        <v>15</v>
      </c>
      <c r="V20">
        <f t="shared" si="1"/>
        <v>10</v>
      </c>
    </row>
    <row r="21" spans="1:22">
      <c r="A21" s="1" t="s">
        <v>242</v>
      </c>
      <c r="H21" t="s">
        <v>150</v>
      </c>
      <c r="I21" t="s">
        <v>140</v>
      </c>
      <c r="J21" s="1">
        <f>_xlfn.XLOOKUP(I21,'rank lookup'!$A$1:$A$21,'rank lookup'!$B$1:$B$21,,0)</f>
        <v>9</v>
      </c>
      <c r="L21" s="25">
        <v>177</v>
      </c>
      <c r="M21" s="25">
        <v>154</v>
      </c>
      <c r="N21" s="5">
        <f>M21/(L21*L21)*10000</f>
        <v>49.155734303680298</v>
      </c>
      <c r="O21" s="4">
        <f>CONVERT(L21,"cm","in")</f>
        <v>69.685039370078741</v>
      </c>
      <c r="P21">
        <f>_xlfn.FLOOR.MATH(O21/12)</f>
        <v>5</v>
      </c>
      <c r="Q21">
        <f>ROUND(O21-P21*12,1)</f>
        <v>9.6999999999999993</v>
      </c>
      <c r="R21" t="str">
        <f>P21&amp;"' "&amp;Q21&amp;""""</f>
        <v>5' 9.7"</v>
      </c>
      <c r="S21">
        <f>ROUND(CONVERT(M21,"kg","lbm"),0)</f>
        <v>340</v>
      </c>
      <c r="T21">
        <f t="shared" si="1"/>
        <v>35</v>
      </c>
      <c r="U21">
        <f t="shared" si="1"/>
        <v>29</v>
      </c>
      <c r="V21">
        <f t="shared" si="1"/>
        <v>17</v>
      </c>
    </row>
    <row r="22" spans="1:22">
      <c r="A22" s="1" t="s">
        <v>243</v>
      </c>
      <c r="H22" t="s">
        <v>151</v>
      </c>
      <c r="I22" t="s">
        <v>140</v>
      </c>
      <c r="J22" s="1">
        <f>_xlfn.XLOOKUP(I22,'rank lookup'!$A$1:$A$21,'rank lookup'!$B$1:$B$21,,0)</f>
        <v>9</v>
      </c>
      <c r="L22" s="25">
        <v>193</v>
      </c>
      <c r="M22" s="25">
        <v>186</v>
      </c>
      <c r="N22" s="5">
        <f>M22/(L22*L22)*10000</f>
        <v>49.93422642218583</v>
      </c>
      <c r="O22" s="4">
        <f>CONVERT(L22,"cm","in")</f>
        <v>75.984251968503941</v>
      </c>
      <c r="P22">
        <f>_xlfn.FLOOR.MATH(O22/12)</f>
        <v>6</v>
      </c>
      <c r="Q22">
        <f>ROUND(O22-P22*12,1)</f>
        <v>4</v>
      </c>
      <c r="R22" t="str">
        <f>P22&amp;"' "&amp;Q22&amp;""""</f>
        <v>6' 4"</v>
      </c>
      <c r="S22">
        <f>ROUND(CONVERT(M22,"kg","lbm"),0)</f>
        <v>410</v>
      </c>
      <c r="T22">
        <f t="shared" si="1"/>
        <v>2</v>
      </c>
      <c r="U22">
        <f t="shared" si="1"/>
        <v>3</v>
      </c>
      <c r="V22">
        <f t="shared" si="1"/>
        <v>11</v>
      </c>
    </row>
    <row r="23" spans="1:22">
      <c r="A23" s="1" t="s">
        <v>120</v>
      </c>
      <c r="B23" s="1"/>
      <c r="C23" s="1" t="s">
        <v>135</v>
      </c>
      <c r="D23" s="1" t="s">
        <v>147</v>
      </c>
      <c r="E23" s="1" t="s">
        <v>142</v>
      </c>
      <c r="F23" s="1" t="s">
        <v>139</v>
      </c>
      <c r="G23" s="1" t="s">
        <v>143</v>
      </c>
      <c r="H23" s="1" t="s">
        <v>140</v>
      </c>
      <c r="I23" s="1" t="s">
        <v>141</v>
      </c>
      <c r="J23" s="1">
        <f>_xlfn.XLOOKUP(I23,'rank lookup'!$A$1:$A$21,'rank lookup'!$B$1:$B$21,,0)</f>
        <v>10</v>
      </c>
      <c r="K23" s="1"/>
      <c r="L23" s="28">
        <v>177</v>
      </c>
      <c r="M23" s="28">
        <v>165</v>
      </c>
      <c r="N23" s="5">
        <f>M23/(L23*L23)*10000</f>
        <v>52.666858182514609</v>
      </c>
      <c r="O23" s="4">
        <f>CONVERT(L23,"cm","in")</f>
        <v>69.685039370078741</v>
      </c>
      <c r="P23">
        <f>_xlfn.FLOOR.MATH(O23/12)</f>
        <v>5</v>
      </c>
      <c r="Q23">
        <f>ROUND(O23-P23*12,1)</f>
        <v>9.6999999999999993</v>
      </c>
      <c r="R23" t="str">
        <f>P23&amp;"' "&amp;Q23&amp;""""</f>
        <v>5' 9.7"</v>
      </c>
      <c r="S23">
        <f>ROUND(CONVERT(M23,"kg","lbm"),0)</f>
        <v>364</v>
      </c>
      <c r="T23">
        <f t="shared" si="1"/>
        <v>35</v>
      </c>
      <c r="U23">
        <f t="shared" si="1"/>
        <v>18</v>
      </c>
      <c r="V23">
        <f t="shared" si="1"/>
        <v>5</v>
      </c>
    </row>
    <row r="24" spans="1:22">
      <c r="A24" t="s">
        <v>149</v>
      </c>
      <c r="C24" s="1" t="s">
        <v>148</v>
      </c>
      <c r="D24" s="1" t="s">
        <v>141</v>
      </c>
      <c r="E24" s="1" t="s">
        <v>140</v>
      </c>
      <c r="F24" s="1" t="s">
        <v>136</v>
      </c>
      <c r="G24" s="1" t="s">
        <v>145</v>
      </c>
      <c r="H24" s="1" t="s">
        <v>152</v>
      </c>
      <c r="I24" s="1" t="s">
        <v>141</v>
      </c>
      <c r="J24" s="1">
        <f>_xlfn.XLOOKUP(I24,'rank lookup'!$A$1:$A$21,'rank lookup'!$B$1:$B$21,,0)</f>
        <v>10</v>
      </c>
      <c r="K24" s="1"/>
      <c r="L24" s="29">
        <v>188</v>
      </c>
      <c r="M24" s="28">
        <v>155</v>
      </c>
      <c r="N24" s="5">
        <f>M24/(L24*L24)*10000</f>
        <v>43.854685377999097</v>
      </c>
      <c r="O24" s="4">
        <f>CONVERT(L24,"cm","in")</f>
        <v>74.015748031496059</v>
      </c>
      <c r="P24">
        <f>_xlfn.FLOOR.MATH(O24/12)</f>
        <v>6</v>
      </c>
      <c r="Q24">
        <f>ROUND(O24-P24*12,1)</f>
        <v>2</v>
      </c>
      <c r="R24" t="str">
        <f>P24&amp;"' "&amp;Q24&amp;""""</f>
        <v>6' 2"</v>
      </c>
      <c r="S24">
        <f>ROUND(CONVERT(M24,"kg","lbm"),0)</f>
        <v>342</v>
      </c>
      <c r="T24">
        <f t="shared" si="1"/>
        <v>12</v>
      </c>
      <c r="U24">
        <f t="shared" si="1"/>
        <v>28</v>
      </c>
      <c r="V24">
        <f t="shared" si="1"/>
        <v>33</v>
      </c>
    </row>
    <row r="25" spans="1:22">
      <c r="A25" s="1" t="s">
        <v>88</v>
      </c>
      <c r="B25" s="1"/>
      <c r="C25" s="1" t="s">
        <v>150</v>
      </c>
      <c r="D25" s="1" t="s">
        <v>150</v>
      </c>
      <c r="E25" s="1" t="s">
        <v>142</v>
      </c>
      <c r="F25" s="1" t="s">
        <v>152</v>
      </c>
      <c r="G25" s="1" t="s">
        <v>154</v>
      </c>
      <c r="H25" s="1" t="s">
        <v>141</v>
      </c>
      <c r="I25" s="1" t="s">
        <v>135</v>
      </c>
      <c r="J25" s="1">
        <f>_xlfn.XLOOKUP(I25,'rank lookup'!$A$1:$A$21,'rank lookup'!$B$1:$B$21,,0)</f>
        <v>11</v>
      </c>
      <c r="K25" s="1"/>
      <c r="L25" s="28">
        <v>190</v>
      </c>
      <c r="M25" s="28">
        <v>179</v>
      </c>
      <c r="N25" s="5">
        <f>M25/(L25*L25)*10000</f>
        <v>49.584487534626035</v>
      </c>
      <c r="O25" s="4">
        <f>CONVERT(L25,"cm","in")</f>
        <v>74.803149606299215</v>
      </c>
      <c r="P25">
        <f>_xlfn.FLOOR.MATH(O25/12)</f>
        <v>6</v>
      </c>
      <c r="Q25">
        <f>ROUND(O25-P25*12,1)</f>
        <v>2.8</v>
      </c>
      <c r="R25" t="str">
        <f>P25&amp;"' "&amp;Q25&amp;""""</f>
        <v>6' 2.8"</v>
      </c>
      <c r="S25">
        <f>ROUND(CONVERT(M25,"kg","lbm"),0)</f>
        <v>395</v>
      </c>
      <c r="T25">
        <f t="shared" si="1"/>
        <v>8</v>
      </c>
      <c r="U25">
        <f t="shared" si="1"/>
        <v>9</v>
      </c>
      <c r="V25">
        <f t="shared" si="1"/>
        <v>12</v>
      </c>
    </row>
    <row r="26" spans="1:22">
      <c r="A26" s="1" t="s">
        <v>96</v>
      </c>
      <c r="B26" s="1"/>
      <c r="C26" s="1" t="s">
        <v>139</v>
      </c>
      <c r="D26" s="1" t="s">
        <v>132</v>
      </c>
      <c r="E26" s="1" t="s">
        <v>31</v>
      </c>
      <c r="F26" s="1" t="s">
        <v>135</v>
      </c>
      <c r="G26" s="1" t="s">
        <v>136</v>
      </c>
      <c r="H26" s="1" t="s">
        <v>135</v>
      </c>
      <c r="I26" s="1" t="s">
        <v>135</v>
      </c>
      <c r="J26" s="1">
        <f>_xlfn.XLOOKUP(I26,'rank lookup'!$A$1:$A$21,'rank lookup'!$B$1:$B$21,,0)</f>
        <v>11</v>
      </c>
      <c r="K26" s="1"/>
      <c r="L26" s="28">
        <v>188</v>
      </c>
      <c r="M26" s="28">
        <v>183</v>
      </c>
      <c r="N26" s="5">
        <f>M26/(L26*L26)*10000</f>
        <v>51.776822091444096</v>
      </c>
      <c r="O26" s="4">
        <f>CONVERT(L26,"cm","in")</f>
        <v>74.015748031496059</v>
      </c>
      <c r="P26">
        <f>_xlfn.FLOOR.MATH(O26/12)</f>
        <v>6</v>
      </c>
      <c r="Q26">
        <f>ROUND(O26-P26*12,1)</f>
        <v>2</v>
      </c>
      <c r="R26" t="str">
        <f>P26&amp;"' "&amp;Q26&amp;""""</f>
        <v>6' 2"</v>
      </c>
      <c r="S26">
        <f>ROUND(CONVERT(M26,"kg","lbm"),0)</f>
        <v>403</v>
      </c>
      <c r="T26">
        <f t="shared" si="1"/>
        <v>12</v>
      </c>
      <c r="U26">
        <f t="shared" si="1"/>
        <v>6</v>
      </c>
      <c r="V26">
        <f t="shared" si="1"/>
        <v>7</v>
      </c>
    </row>
    <row r="27" spans="1:22">
      <c r="A27" t="s">
        <v>155</v>
      </c>
      <c r="C27" s="1" t="s">
        <v>154</v>
      </c>
      <c r="D27" s="1" t="s">
        <v>154</v>
      </c>
      <c r="E27" s="1" t="s">
        <v>145</v>
      </c>
      <c r="F27" s="1" t="s">
        <v>143</v>
      </c>
      <c r="G27" s="1" t="s">
        <v>143</v>
      </c>
      <c r="H27" s="1" t="s">
        <v>140</v>
      </c>
      <c r="I27" s="1" t="s">
        <v>142</v>
      </c>
      <c r="J27" s="1">
        <f>_xlfn.XLOOKUP(I27,'rank lookup'!$A$1:$A$21,'rank lookup'!$B$1:$B$21,,0)</f>
        <v>12</v>
      </c>
      <c r="K27" s="1"/>
      <c r="L27" s="28">
        <v>177</v>
      </c>
      <c r="M27" s="28">
        <v>135</v>
      </c>
      <c r="N27" s="5">
        <f>M27/(L27*L27)*10000</f>
        <v>43.091065785693765</v>
      </c>
      <c r="O27" s="4">
        <f>CONVERT(L27,"cm","in")</f>
        <v>69.685039370078741</v>
      </c>
      <c r="P27">
        <f>_xlfn.FLOOR.MATH(O27/12)</f>
        <v>5</v>
      </c>
      <c r="Q27">
        <f>ROUND(O27-P27*12,1)</f>
        <v>9.6999999999999993</v>
      </c>
      <c r="R27" t="str">
        <f>P27&amp;"' "&amp;Q27&amp;""""</f>
        <v>5' 9.7"</v>
      </c>
      <c r="S27">
        <f>ROUND(CONVERT(M27,"kg","lbm"),0)</f>
        <v>298</v>
      </c>
      <c r="T27">
        <f t="shared" si="1"/>
        <v>35</v>
      </c>
      <c r="U27">
        <f t="shared" si="1"/>
        <v>39</v>
      </c>
      <c r="V27">
        <f t="shared" si="1"/>
        <v>34</v>
      </c>
    </row>
    <row r="28" spans="1:22">
      <c r="A28" s="1" t="s">
        <v>122</v>
      </c>
      <c r="B28" s="1"/>
      <c r="C28" s="1" t="s">
        <v>143</v>
      </c>
      <c r="D28" s="1" t="s">
        <v>148</v>
      </c>
      <c r="E28" s="1" t="s">
        <v>150</v>
      </c>
      <c r="F28" s="1" t="s">
        <v>150</v>
      </c>
      <c r="G28" s="1" t="s">
        <v>148</v>
      </c>
      <c r="H28" s="1" t="s">
        <v>147</v>
      </c>
      <c r="I28" s="1" t="s">
        <v>142</v>
      </c>
      <c r="J28" s="1">
        <f>_xlfn.XLOOKUP(I28,'rank lookup'!$A$1:$A$21,'rank lookup'!$B$1:$B$21,,0)</f>
        <v>12</v>
      </c>
      <c r="K28" s="1"/>
      <c r="L28" s="28">
        <v>176</v>
      </c>
      <c r="M28" s="28">
        <v>133</v>
      </c>
      <c r="N28" s="5">
        <f>M28/(L28*L28)*10000</f>
        <v>42.936466942148755</v>
      </c>
      <c r="O28" s="4">
        <f>CONVERT(L28,"cm","in")</f>
        <v>69.29133858267717</v>
      </c>
      <c r="P28">
        <f>_xlfn.FLOOR.MATH(O28/12)</f>
        <v>5</v>
      </c>
      <c r="Q28">
        <f>ROUND(O28-P28*12,1)</f>
        <v>9.3000000000000007</v>
      </c>
      <c r="R28" t="str">
        <f>P28&amp;"' "&amp;Q28&amp;""""</f>
        <v>5' 9.3"</v>
      </c>
      <c r="S28">
        <f>ROUND(CONVERT(M28,"kg","lbm"),0)</f>
        <v>293</v>
      </c>
      <c r="T28">
        <f t="shared" si="1"/>
        <v>38</v>
      </c>
      <c r="U28">
        <f t="shared" si="1"/>
        <v>41</v>
      </c>
      <c r="V28">
        <f t="shared" si="1"/>
        <v>35</v>
      </c>
    </row>
    <row r="29" spans="1:22">
      <c r="A29" s="1" t="s">
        <v>133</v>
      </c>
      <c r="C29" t="s">
        <v>132</v>
      </c>
      <c r="D29" s="1" t="s">
        <v>137</v>
      </c>
      <c r="E29" s="1" t="s">
        <v>137</v>
      </c>
      <c r="F29" s="1" t="s">
        <v>140</v>
      </c>
      <c r="G29" s="1" t="s">
        <v>132</v>
      </c>
      <c r="H29" s="1" t="s">
        <v>137</v>
      </c>
      <c r="I29" s="1" t="s">
        <v>143</v>
      </c>
      <c r="J29" s="1">
        <f>_xlfn.XLOOKUP(I29,'rank lookup'!$A$1:$A$21,'rank lookup'!$B$1:$B$21,,0)</f>
        <v>13</v>
      </c>
      <c r="K29" s="1"/>
      <c r="L29" s="28">
        <v>171</v>
      </c>
      <c r="M29" s="28">
        <v>116</v>
      </c>
      <c r="N29" s="5">
        <f>M29/(L29*L29)*10000</f>
        <v>39.670325912246504</v>
      </c>
      <c r="O29" s="4">
        <f>CONVERT(L29,"cm","in")</f>
        <v>67.322834645669289</v>
      </c>
      <c r="P29">
        <f>_xlfn.FLOOR.MATH(O29/12)</f>
        <v>5</v>
      </c>
      <c r="Q29">
        <f>ROUND(O29-P29*12,1)</f>
        <v>7.3</v>
      </c>
      <c r="R29" t="str">
        <f>P29&amp;"' "&amp;Q29&amp;""""</f>
        <v>5' 7.3"</v>
      </c>
      <c r="S29">
        <f>ROUND(CONVERT(M29,"kg","lbm"),0)</f>
        <v>256</v>
      </c>
      <c r="T29">
        <f t="shared" si="1"/>
        <v>42</v>
      </c>
      <c r="U29">
        <f t="shared" si="1"/>
        <v>42</v>
      </c>
      <c r="V29">
        <f t="shared" si="1"/>
        <v>42</v>
      </c>
    </row>
    <row r="30" spans="1:22">
      <c r="A30" s="1" t="s">
        <v>244</v>
      </c>
      <c r="H30" t="s">
        <v>186</v>
      </c>
      <c r="I30" t="s">
        <v>143</v>
      </c>
      <c r="J30" s="1">
        <f>_xlfn.XLOOKUP(I30,'rank lookup'!$A$1:$A$21,'rank lookup'!$B$1:$B$21,,0)</f>
        <v>13</v>
      </c>
      <c r="L30" s="25">
        <v>181</v>
      </c>
      <c r="M30" s="25">
        <v>162</v>
      </c>
      <c r="N30" s="5">
        <f>M30/(L30*L30)*10000</f>
        <v>49.449040017093495</v>
      </c>
      <c r="O30" s="4">
        <f>CONVERT(L30,"cm","in")</f>
        <v>71.259842519685037</v>
      </c>
      <c r="P30">
        <f>_xlfn.FLOOR.MATH(O30/12)</f>
        <v>5</v>
      </c>
      <c r="Q30">
        <f>ROUND(O30-P30*12,1)</f>
        <v>11.3</v>
      </c>
      <c r="R30" t="str">
        <f>P30&amp;"' "&amp;Q30&amp;""""</f>
        <v>5' 11.3"</v>
      </c>
      <c r="S30">
        <f>ROUND(CONVERT(M30,"kg","lbm"),0)</f>
        <v>357</v>
      </c>
      <c r="T30">
        <f t="shared" si="1"/>
        <v>32</v>
      </c>
      <c r="U30">
        <f t="shared" si="1"/>
        <v>21</v>
      </c>
      <c r="V30">
        <f t="shared" si="1"/>
        <v>14</v>
      </c>
    </row>
    <row r="31" spans="1:22">
      <c r="A31" s="1" t="s">
        <v>189</v>
      </c>
      <c r="F31" t="s">
        <v>151</v>
      </c>
      <c r="G31" t="s">
        <v>140</v>
      </c>
      <c r="H31" s="1" t="s">
        <v>145</v>
      </c>
      <c r="I31" s="1" t="s">
        <v>145</v>
      </c>
      <c r="J31" s="1">
        <f>_xlfn.XLOOKUP(I31,'rank lookup'!$A$1:$A$21,'rank lookup'!$B$1:$B$21,,0)</f>
        <v>14</v>
      </c>
      <c r="K31" s="1"/>
      <c r="L31" s="28">
        <v>192</v>
      </c>
      <c r="M31" s="28">
        <v>181</v>
      </c>
      <c r="N31" s="5">
        <f>M31/(L31*L31)*10000</f>
        <v>49.099392361111107</v>
      </c>
      <c r="O31" s="4">
        <f>CONVERT(L31,"cm","in")</f>
        <v>75.59055118110237</v>
      </c>
      <c r="P31">
        <f>_xlfn.FLOOR.MATH(O31/12)</f>
        <v>6</v>
      </c>
      <c r="Q31">
        <f>ROUND(O31-P31*12,1)</f>
        <v>3.6</v>
      </c>
      <c r="R31" t="str">
        <f>P31&amp;"' "&amp;Q31&amp;""""</f>
        <v>6' 3.6"</v>
      </c>
      <c r="S31">
        <f>ROUND(CONVERT(M31,"kg","lbm"),0)</f>
        <v>399</v>
      </c>
      <c r="T31">
        <f t="shared" si="1"/>
        <v>4</v>
      </c>
      <c r="U31">
        <f t="shared" si="1"/>
        <v>7</v>
      </c>
      <c r="V31">
        <f t="shared" si="1"/>
        <v>18</v>
      </c>
    </row>
    <row r="32" spans="1:22">
      <c r="A32" s="1" t="s">
        <v>99</v>
      </c>
      <c r="B32" s="1"/>
      <c r="C32" s="1" t="s">
        <v>141</v>
      </c>
      <c r="D32" s="1" t="s">
        <v>135</v>
      </c>
      <c r="E32" s="1" t="s">
        <v>143</v>
      </c>
      <c r="F32" s="1" t="s">
        <v>141</v>
      </c>
      <c r="G32" s="1" t="s">
        <v>136</v>
      </c>
      <c r="H32" s="1" t="s">
        <v>154</v>
      </c>
      <c r="I32" s="1" t="s">
        <v>145</v>
      </c>
      <c r="J32" s="1">
        <f>_xlfn.XLOOKUP(I32,'rank lookup'!$A$1:$A$21,'rank lookup'!$B$1:$B$21,,0)</f>
        <v>14</v>
      </c>
      <c r="K32" s="1"/>
      <c r="L32" s="28">
        <v>184</v>
      </c>
      <c r="M32" s="28">
        <v>150</v>
      </c>
      <c r="N32" s="5">
        <f>M32/(L32*L32)*10000</f>
        <v>44.305293005671075</v>
      </c>
      <c r="O32" s="4">
        <f>CONVERT(L32,"cm","in")</f>
        <v>72.440944881889763</v>
      </c>
      <c r="P32">
        <f>_xlfn.FLOOR.MATH(O32/12)</f>
        <v>6</v>
      </c>
      <c r="Q32">
        <f>ROUND(O32-P32*12,1)</f>
        <v>0.4</v>
      </c>
      <c r="R32" t="str">
        <f>P32&amp;"' "&amp;Q32&amp;""""</f>
        <v>6' 0.4"</v>
      </c>
      <c r="S32">
        <f>ROUND(CONVERT(M32,"kg","lbm"),0)</f>
        <v>331</v>
      </c>
      <c r="T32">
        <f t="shared" si="1"/>
        <v>24</v>
      </c>
      <c r="U32">
        <f t="shared" si="1"/>
        <v>31</v>
      </c>
      <c r="V32">
        <f t="shared" si="1"/>
        <v>29</v>
      </c>
    </row>
    <row r="33" spans="1:22">
      <c r="A33" s="1" t="s">
        <v>116</v>
      </c>
      <c r="B33" s="1">
        <v>2</v>
      </c>
      <c r="C33" s="1" t="s">
        <v>39</v>
      </c>
      <c r="D33" s="1" t="s">
        <v>31</v>
      </c>
      <c r="E33" s="1" t="s">
        <v>136</v>
      </c>
      <c r="F33" s="1" t="s">
        <v>137</v>
      </c>
      <c r="G33" s="1" t="s">
        <v>141</v>
      </c>
      <c r="H33" s="1" t="s">
        <v>136</v>
      </c>
      <c r="I33" s="1" t="s">
        <v>147</v>
      </c>
      <c r="J33" s="1">
        <f>_xlfn.XLOOKUP(I33,'rank lookup'!$A$1:$A$21,'rank lookup'!$B$1:$B$21,,0)</f>
        <v>15</v>
      </c>
      <c r="K33" s="1"/>
      <c r="L33" s="28">
        <v>179</v>
      </c>
      <c r="M33" s="28">
        <v>170</v>
      </c>
      <c r="N33" s="5">
        <f>M33/(L33*L33)*10000</f>
        <v>53.057020692238069</v>
      </c>
      <c r="O33" s="4">
        <f>CONVERT(L33,"cm","in")</f>
        <v>70.472440944881896</v>
      </c>
      <c r="P33">
        <f>_xlfn.FLOOR.MATH(O33/12)</f>
        <v>5</v>
      </c>
      <c r="Q33">
        <f>ROUND(O33-P33*12,1)</f>
        <v>10.5</v>
      </c>
      <c r="R33" t="str">
        <f>P33&amp;"' "&amp;Q33&amp;""""</f>
        <v>5' 10.5"</v>
      </c>
      <c r="S33">
        <f>ROUND(CONVERT(M33,"kg","lbm"),0)</f>
        <v>375</v>
      </c>
      <c r="T33">
        <f t="shared" si="1"/>
        <v>34</v>
      </c>
      <c r="U33">
        <f t="shared" si="1"/>
        <v>15</v>
      </c>
      <c r="V33">
        <f t="shared" si="1"/>
        <v>4</v>
      </c>
    </row>
    <row r="34" spans="1:22">
      <c r="A34" s="1" t="s">
        <v>191</v>
      </c>
      <c r="F34" t="s">
        <v>152</v>
      </c>
      <c r="G34" t="s">
        <v>147</v>
      </c>
      <c r="H34" t="s">
        <v>141</v>
      </c>
      <c r="I34" s="1" t="s">
        <v>147</v>
      </c>
      <c r="J34" s="1">
        <f>_xlfn.XLOOKUP(I34,'rank lookup'!$A$1:$A$21,'rank lookup'!$B$1:$B$21,,0)</f>
        <v>15</v>
      </c>
      <c r="K34" s="1"/>
      <c r="L34" s="28">
        <v>204</v>
      </c>
      <c r="M34" s="28">
        <v>185</v>
      </c>
      <c r="N34" s="5">
        <f>M34/(L34*L34)*10000</f>
        <v>44.454056132256824</v>
      </c>
      <c r="O34" s="4">
        <f>CONVERT(L34,"cm","in")</f>
        <v>80.314960629921259</v>
      </c>
      <c r="P34">
        <f>_xlfn.FLOOR.MATH(O34/12)</f>
        <v>6</v>
      </c>
      <c r="Q34">
        <f>ROUND(O34-P34*12,1)</f>
        <v>8.3000000000000007</v>
      </c>
      <c r="R34" t="str">
        <f>P34&amp;"' "&amp;Q34&amp;""""</f>
        <v>6' 8.3"</v>
      </c>
      <c r="S34">
        <f>ROUND(CONVERT(M34,"kg","lbm"),0)</f>
        <v>408</v>
      </c>
      <c r="T34">
        <f t="shared" si="1"/>
        <v>1</v>
      </c>
      <c r="U34">
        <f t="shared" si="1"/>
        <v>5</v>
      </c>
      <c r="V34">
        <f t="shared" si="1"/>
        <v>28</v>
      </c>
    </row>
    <row r="35" spans="1:22">
      <c r="A35" s="1" t="s">
        <v>111</v>
      </c>
      <c r="B35" s="1"/>
      <c r="C35" s="1" t="s">
        <v>140</v>
      </c>
      <c r="D35" s="1" t="s">
        <v>139</v>
      </c>
      <c r="E35" s="1" t="s">
        <v>139</v>
      </c>
      <c r="F35" s="1" t="s">
        <v>141</v>
      </c>
      <c r="G35" s="1" t="s">
        <v>142</v>
      </c>
      <c r="H35" s="1" t="s">
        <v>142</v>
      </c>
      <c r="I35" s="1" t="s">
        <v>148</v>
      </c>
      <c r="J35" s="1">
        <f>_xlfn.XLOOKUP(I35,'rank lookup'!$A$1:$A$21,'rank lookup'!$B$1:$B$21,,0)</f>
        <v>16</v>
      </c>
      <c r="K35" s="1"/>
      <c r="L35" s="28">
        <v>182</v>
      </c>
      <c r="M35" s="28">
        <v>142</v>
      </c>
      <c r="N35" s="5">
        <f>M35/(L35*L35)*10000</f>
        <v>42.869218693394522</v>
      </c>
      <c r="O35" s="4">
        <f>CONVERT(L35,"cm","in")</f>
        <v>71.653543307086608</v>
      </c>
      <c r="P35">
        <f>_xlfn.FLOOR.MATH(O35/12)</f>
        <v>5</v>
      </c>
      <c r="Q35">
        <f>ROUND(O35-P35*12,1)</f>
        <v>11.7</v>
      </c>
      <c r="R35" t="str">
        <f>P35&amp;"' "&amp;Q35&amp;""""</f>
        <v>5' 11.7"</v>
      </c>
      <c r="S35">
        <f>ROUND(CONVERT(M35,"kg","lbm"),0)</f>
        <v>313</v>
      </c>
      <c r="T35">
        <f t="shared" si="1"/>
        <v>30</v>
      </c>
      <c r="U35">
        <f t="shared" si="1"/>
        <v>36</v>
      </c>
      <c r="V35">
        <f t="shared" si="1"/>
        <v>36</v>
      </c>
    </row>
    <row r="36" spans="1:22">
      <c r="A36" s="1" t="s">
        <v>104</v>
      </c>
      <c r="B36" s="1"/>
      <c r="C36" s="1" t="s">
        <v>140</v>
      </c>
      <c r="D36" s="1" t="s">
        <v>142</v>
      </c>
      <c r="E36" s="1" t="s">
        <v>154</v>
      </c>
      <c r="F36" s="1" t="s">
        <v>148</v>
      </c>
      <c r="G36" s="1" t="s">
        <v>145</v>
      </c>
      <c r="H36" s="1" t="s">
        <v>152</v>
      </c>
      <c r="I36" s="1" t="s">
        <v>148</v>
      </c>
      <c r="J36" s="1">
        <f>_xlfn.XLOOKUP(I36,'rank lookup'!$A$1:$A$21,'rank lookup'!$B$1:$B$21,,0)</f>
        <v>16</v>
      </c>
      <c r="K36" s="1"/>
      <c r="L36" s="28">
        <v>186</v>
      </c>
      <c r="M36" s="28">
        <v>171</v>
      </c>
      <c r="N36" s="5">
        <f>M36/(L36*L36)*10000</f>
        <v>49.427679500520291</v>
      </c>
      <c r="O36" s="4">
        <f>CONVERT(L36,"cm","in")</f>
        <v>73.228346456692918</v>
      </c>
      <c r="P36">
        <f>_xlfn.FLOOR.MATH(O36/12)</f>
        <v>6</v>
      </c>
      <c r="Q36">
        <f>ROUND(O36-P36*12,1)</f>
        <v>1.2</v>
      </c>
      <c r="R36" t="str">
        <f>P36&amp;"' "&amp;Q36&amp;""""</f>
        <v>6' 1.2"</v>
      </c>
      <c r="S36">
        <f>ROUND(CONVERT(M36,"kg","lbm"),0)</f>
        <v>377</v>
      </c>
      <c r="T36">
        <f t="shared" si="1"/>
        <v>17</v>
      </c>
      <c r="U36">
        <f t="shared" si="1"/>
        <v>14</v>
      </c>
      <c r="V36">
        <f t="shared" si="1"/>
        <v>15</v>
      </c>
    </row>
    <row r="37" spans="1:22">
      <c r="A37" t="s">
        <v>144</v>
      </c>
      <c r="C37" s="1" t="s">
        <v>145</v>
      </c>
      <c r="D37" s="1" t="s">
        <v>140</v>
      </c>
      <c r="E37" s="1" t="s">
        <v>139</v>
      </c>
      <c r="F37" s="1" t="s">
        <v>145</v>
      </c>
      <c r="G37" s="1" t="s">
        <v>137</v>
      </c>
      <c r="H37" s="1" t="s">
        <v>142</v>
      </c>
      <c r="I37" s="1" t="s">
        <v>150</v>
      </c>
      <c r="J37" s="1">
        <f>_xlfn.XLOOKUP(I37,'rank lookup'!$A$1:$A$21,'rank lookup'!$B$1:$B$21,,0)</f>
        <v>17</v>
      </c>
      <c r="K37" s="1"/>
      <c r="L37" s="28">
        <v>184</v>
      </c>
      <c r="M37" s="28">
        <v>149</v>
      </c>
      <c r="N37" s="5">
        <f>M37/(L37*L37)*10000</f>
        <v>44.009924385633276</v>
      </c>
      <c r="O37" s="4">
        <f>CONVERT(L37,"cm","in")</f>
        <v>72.440944881889763</v>
      </c>
      <c r="P37">
        <f>_xlfn.FLOOR.MATH(O37/12)</f>
        <v>6</v>
      </c>
      <c r="Q37">
        <f>ROUND(O37-P37*12,1)</f>
        <v>0.4</v>
      </c>
      <c r="R37" t="str">
        <f>P37&amp;"' "&amp;Q37&amp;""""</f>
        <v>6' 0.4"</v>
      </c>
      <c r="S37">
        <f>ROUND(CONVERT(M37,"kg","lbm"),0)</f>
        <v>328</v>
      </c>
      <c r="T37">
        <f t="shared" si="1"/>
        <v>24</v>
      </c>
      <c r="U37">
        <f t="shared" si="1"/>
        <v>32</v>
      </c>
      <c r="V37">
        <f t="shared" si="1"/>
        <v>32</v>
      </c>
    </row>
    <row r="38" spans="1:22">
      <c r="A38" s="1" t="s">
        <v>97</v>
      </c>
      <c r="B38" s="1"/>
      <c r="C38" s="1" t="s">
        <v>143</v>
      </c>
      <c r="D38" s="1" t="s">
        <v>135</v>
      </c>
      <c r="E38" s="1" t="s">
        <v>141</v>
      </c>
      <c r="F38" s="1" t="s">
        <v>145</v>
      </c>
      <c r="G38" s="1" t="s">
        <v>151</v>
      </c>
      <c r="H38" s="1" t="s">
        <v>145</v>
      </c>
      <c r="I38" s="1" t="s">
        <v>150</v>
      </c>
      <c r="J38" s="1">
        <f>_xlfn.XLOOKUP(I38,'rank lookup'!$A$1:$A$21,'rank lookup'!$B$1:$B$21,,0)</f>
        <v>17</v>
      </c>
      <c r="K38" s="1"/>
      <c r="L38" s="28">
        <v>188</v>
      </c>
      <c r="M38" s="28">
        <v>156</v>
      </c>
      <c r="N38" s="5">
        <f>M38/(L38*L38)*10000</f>
        <v>44.137618832050705</v>
      </c>
      <c r="O38" s="4">
        <f>CONVERT(L38,"cm","in")</f>
        <v>74.015748031496059</v>
      </c>
      <c r="P38">
        <f>_xlfn.FLOOR.MATH(O38/12)</f>
        <v>6</v>
      </c>
      <c r="Q38">
        <f>ROUND(O38-P38*12,1)</f>
        <v>2</v>
      </c>
      <c r="R38" t="str">
        <f>P38&amp;"' "&amp;Q38&amp;""""</f>
        <v>6' 2"</v>
      </c>
      <c r="S38">
        <f>ROUND(CONVERT(M38,"kg","lbm"),0)</f>
        <v>344</v>
      </c>
      <c r="T38">
        <f t="shared" si="1"/>
        <v>12</v>
      </c>
      <c r="U38">
        <f t="shared" si="1"/>
        <v>26</v>
      </c>
      <c r="V38">
        <f t="shared" si="1"/>
        <v>30</v>
      </c>
    </row>
    <row r="39" spans="1:22">
      <c r="A39" t="s">
        <v>146</v>
      </c>
      <c r="C39" s="1" t="s">
        <v>147</v>
      </c>
      <c r="D39" s="1" t="s">
        <v>147</v>
      </c>
      <c r="E39" s="1" t="s">
        <v>150</v>
      </c>
      <c r="F39" s="1" t="s">
        <v>140</v>
      </c>
      <c r="G39" s="1" t="s">
        <v>140</v>
      </c>
      <c r="H39" s="1" t="s">
        <v>150</v>
      </c>
      <c r="I39" s="1" t="s">
        <v>151</v>
      </c>
      <c r="J39" s="1">
        <f>_xlfn.XLOOKUP(I39,'rank lookup'!$A$1:$A$21,'rank lookup'!$B$1:$B$21,,0)</f>
        <v>18</v>
      </c>
      <c r="K39" s="1"/>
      <c r="L39" s="28">
        <v>191</v>
      </c>
      <c r="M39" s="28">
        <v>161</v>
      </c>
      <c r="N39" s="5">
        <f>M39/(L39*L39)*10000</f>
        <v>44.13256215564266</v>
      </c>
      <c r="O39" s="4">
        <f>CONVERT(L39,"cm","in")</f>
        <v>75.196850393700785</v>
      </c>
      <c r="P39">
        <f>_xlfn.FLOOR.MATH(O39/12)</f>
        <v>6</v>
      </c>
      <c r="Q39">
        <f>ROUND(O39-P39*12,1)</f>
        <v>3.2</v>
      </c>
      <c r="R39" t="str">
        <f>P39&amp;"' "&amp;Q39&amp;""""</f>
        <v>6' 3.2"</v>
      </c>
      <c r="S39">
        <f>ROUND(CONVERT(M39,"kg","lbm"),0)</f>
        <v>355</v>
      </c>
      <c r="T39">
        <f t="shared" si="1"/>
        <v>6</v>
      </c>
      <c r="U39">
        <f t="shared" si="1"/>
        <v>22</v>
      </c>
      <c r="V39">
        <f t="shared" si="1"/>
        <v>31</v>
      </c>
    </row>
    <row r="40" spans="1:22">
      <c r="A40" s="1" t="s">
        <v>91</v>
      </c>
      <c r="B40" s="1"/>
      <c r="C40" s="1" t="s">
        <v>135</v>
      </c>
      <c r="D40" s="1" t="s">
        <v>145</v>
      </c>
      <c r="E40" s="1" t="s">
        <v>145</v>
      </c>
      <c r="F40" s="1" t="s">
        <v>143</v>
      </c>
      <c r="G40" s="1" t="s">
        <v>148</v>
      </c>
      <c r="H40" s="1" t="s">
        <v>186</v>
      </c>
      <c r="I40" s="1" t="s">
        <v>151</v>
      </c>
      <c r="J40" s="1">
        <f>_xlfn.XLOOKUP(I40,'rank lookup'!$A$1:$A$21,'rank lookup'!$B$1:$B$21,,0)</f>
        <v>18</v>
      </c>
      <c r="K40" s="1"/>
      <c r="L40" s="28">
        <v>191</v>
      </c>
      <c r="M40" s="28">
        <v>186</v>
      </c>
      <c r="N40" s="5">
        <f>M40/(L40*L40)*10000</f>
        <v>50.985444477947425</v>
      </c>
      <c r="O40" s="4">
        <f>CONVERT(L40,"cm","in")</f>
        <v>75.196850393700785</v>
      </c>
      <c r="P40">
        <f>_xlfn.FLOOR.MATH(O40/12)</f>
        <v>6</v>
      </c>
      <c r="Q40">
        <f>ROUND(O40-P40*12,1)</f>
        <v>3.2</v>
      </c>
      <c r="R40" t="str">
        <f>P40&amp;"' "&amp;Q40&amp;""""</f>
        <v>6' 3.2"</v>
      </c>
      <c r="S40">
        <f>ROUND(CONVERT(M40,"kg","lbm"),0)</f>
        <v>410</v>
      </c>
      <c r="T40">
        <f t="shared" si="1"/>
        <v>6</v>
      </c>
      <c r="U40">
        <f t="shared" si="1"/>
        <v>3</v>
      </c>
      <c r="V40">
        <f t="shared" si="1"/>
        <v>9</v>
      </c>
    </row>
    <row r="41" spans="1:22">
      <c r="A41" s="1" t="s">
        <v>110</v>
      </c>
      <c r="B41" s="1"/>
      <c r="C41" s="1" t="s">
        <v>151</v>
      </c>
      <c r="D41" s="1" t="s">
        <v>145</v>
      </c>
      <c r="E41" s="1" t="s">
        <v>147</v>
      </c>
      <c r="F41" s="1" t="s">
        <v>154</v>
      </c>
      <c r="G41" s="1" t="s">
        <v>150</v>
      </c>
      <c r="H41" s="1" t="s">
        <v>148</v>
      </c>
      <c r="I41" s="1" t="s">
        <v>152</v>
      </c>
      <c r="J41" s="1">
        <f>_xlfn.XLOOKUP(I41,'rank lookup'!$A$1:$A$21,'rank lookup'!$B$1:$B$21,,0)</f>
        <v>19</v>
      </c>
      <c r="K41" s="1"/>
      <c r="L41" s="28">
        <v>184</v>
      </c>
      <c r="M41" s="28">
        <v>137</v>
      </c>
      <c r="N41" s="5">
        <f>M41/(L41*L41)*10000</f>
        <v>40.465500945179578</v>
      </c>
      <c r="O41" s="4">
        <f>CONVERT(L41,"cm","in")</f>
        <v>72.440944881889763</v>
      </c>
      <c r="P41">
        <f>_xlfn.FLOOR.MATH(O41/12)</f>
        <v>6</v>
      </c>
      <c r="Q41">
        <f>ROUND(O41-P41*12,1)</f>
        <v>0.4</v>
      </c>
      <c r="R41" t="str">
        <f>P41&amp;"' "&amp;Q41&amp;""""</f>
        <v>6' 0.4"</v>
      </c>
      <c r="S41">
        <f>ROUND(CONVERT(M41,"kg","lbm"),0)</f>
        <v>302</v>
      </c>
      <c r="T41">
        <f t="shared" si="1"/>
        <v>24</v>
      </c>
      <c r="U41">
        <f t="shared" si="1"/>
        <v>38</v>
      </c>
      <c r="V41">
        <f t="shared" si="1"/>
        <v>40</v>
      </c>
    </row>
    <row r="42" spans="1:22" ht="50">
      <c r="A42" s="1" t="s">
        <v>168</v>
      </c>
      <c r="D42" t="s">
        <v>152</v>
      </c>
      <c r="E42" s="1" t="s">
        <v>170</v>
      </c>
      <c r="F42" s="1" t="s">
        <v>187</v>
      </c>
      <c r="G42" s="1" t="s">
        <v>187</v>
      </c>
      <c r="H42" s="1" t="s">
        <v>241</v>
      </c>
      <c r="I42" s="1" t="s">
        <v>152</v>
      </c>
      <c r="J42" s="1">
        <f>_xlfn.XLOOKUP(I42,'rank lookup'!$A$1:$A$21,'rank lookup'!$B$1:$B$21,,0)</f>
        <v>19</v>
      </c>
      <c r="K42" s="1" t="s">
        <v>252</v>
      </c>
      <c r="L42" s="27">
        <v>185</v>
      </c>
      <c r="M42" s="27">
        <v>176</v>
      </c>
      <c r="N42" s="5">
        <f>M42/(L42*L42)*10000</f>
        <v>51.424397370343314</v>
      </c>
      <c r="O42" s="4">
        <f>CONVERT(L42,"cm","in")</f>
        <v>72.834645669291348</v>
      </c>
      <c r="P42">
        <f>_xlfn.FLOOR.MATH(O42/12)</f>
        <v>6</v>
      </c>
      <c r="Q42">
        <f>ROUND(O42-P42*12,1)</f>
        <v>0.8</v>
      </c>
      <c r="R42" t="str">
        <f>P42&amp;"' "&amp;Q42&amp;""""</f>
        <v>6' 0.8"</v>
      </c>
      <c r="S42">
        <f>ROUND(CONVERT(M42,"kg","lbm"),0)</f>
        <v>388</v>
      </c>
      <c r="T42">
        <f t="shared" si="1"/>
        <v>20</v>
      </c>
      <c r="U42">
        <f t="shared" si="1"/>
        <v>10</v>
      </c>
      <c r="V42">
        <f t="shared" si="1"/>
        <v>8</v>
      </c>
    </row>
    <row r="43" spans="1:22">
      <c r="A43" s="1" t="s">
        <v>108</v>
      </c>
      <c r="B43" s="1"/>
      <c r="C43" s="1" t="s">
        <v>152</v>
      </c>
      <c r="D43" s="1" t="s">
        <v>170</v>
      </c>
      <c r="E43" s="1" t="s">
        <v>152</v>
      </c>
      <c r="F43" s="1" t="s">
        <v>154</v>
      </c>
      <c r="G43" s="1" t="s">
        <v>152</v>
      </c>
      <c r="H43" s="1" t="s">
        <v>147</v>
      </c>
      <c r="I43" s="1" t="s">
        <v>154</v>
      </c>
      <c r="J43" s="1">
        <f>_xlfn.XLOOKUP(I43,'rank lookup'!$A$1:$A$21,'rank lookup'!$B$1:$B$21,,0)</f>
        <v>20</v>
      </c>
      <c r="K43" s="1"/>
      <c r="L43" s="25">
        <v>185</v>
      </c>
      <c r="M43" s="25">
        <v>194</v>
      </c>
      <c r="N43" s="5">
        <f>M43/(L43*L43)*10000</f>
        <v>56.683710737764791</v>
      </c>
      <c r="O43" s="4">
        <f>CONVERT(L43,"cm","in")</f>
        <v>72.834645669291348</v>
      </c>
      <c r="P43">
        <f>_xlfn.FLOOR.MATH(O43/12)</f>
        <v>6</v>
      </c>
      <c r="Q43">
        <f>ROUND(O43-P43*12,1)</f>
        <v>0.8</v>
      </c>
      <c r="R43" t="str">
        <f>P43&amp;"' "&amp;Q43&amp;""""</f>
        <v>6' 0.8"</v>
      </c>
      <c r="S43">
        <f>ROUND(CONVERT(M43,"kg","lbm"),0)</f>
        <v>428</v>
      </c>
      <c r="T43">
        <f t="shared" si="1"/>
        <v>20</v>
      </c>
      <c r="U43">
        <f t="shared" si="1"/>
        <v>2</v>
      </c>
      <c r="V43">
        <f t="shared" si="1"/>
        <v>2</v>
      </c>
    </row>
    <row r="44" spans="1:22">
      <c r="A44" s="1" t="s">
        <v>167</v>
      </c>
      <c r="D44" t="s">
        <v>152</v>
      </c>
      <c r="E44" t="s">
        <v>148</v>
      </c>
      <c r="F44" t="s">
        <v>148</v>
      </c>
      <c r="G44" s="1" t="s">
        <v>186</v>
      </c>
      <c r="H44" s="1" t="s">
        <v>241</v>
      </c>
      <c r="I44" s="1" t="s">
        <v>154</v>
      </c>
      <c r="J44" s="1">
        <f>_xlfn.XLOOKUP(I44,'rank lookup'!$A$1:$A$21,'rank lookup'!$B$1:$B$21,,0)</f>
        <v>20</v>
      </c>
      <c r="L44" s="25">
        <v>193</v>
      </c>
      <c r="M44" s="25">
        <v>156</v>
      </c>
      <c r="N44" s="5">
        <f>M44/(L44*L44)*10000</f>
        <v>41.880318934736501</v>
      </c>
      <c r="O44" s="4">
        <f>CONVERT(L44,"cm","in")</f>
        <v>75.984251968503941</v>
      </c>
      <c r="P44">
        <f>_xlfn.FLOOR.MATH(O44/12)</f>
        <v>6</v>
      </c>
      <c r="Q44">
        <f>ROUND(O44-P44*12,1)</f>
        <v>4</v>
      </c>
      <c r="R44" t="str">
        <f>P44&amp;"' "&amp;Q44&amp;""""</f>
        <v>6' 4"</v>
      </c>
      <c r="S44">
        <f>ROUND(CONVERT(M44,"kg","lbm"),0)</f>
        <v>344</v>
      </c>
      <c r="T44">
        <f t="shared" si="1"/>
        <v>2</v>
      </c>
      <c r="U44">
        <f t="shared" si="1"/>
        <v>26</v>
      </c>
      <c r="V44">
        <f t="shared" si="1"/>
        <v>38</v>
      </c>
    </row>
    <row r="45" spans="1:22">
      <c r="A45" s="1" t="s">
        <v>188</v>
      </c>
      <c r="F45" t="s">
        <v>150</v>
      </c>
      <c r="G45" t="s">
        <v>147</v>
      </c>
      <c r="H45" s="1" t="s">
        <v>151</v>
      </c>
      <c r="I45" s="1" t="s">
        <v>186</v>
      </c>
      <c r="J45" s="1">
        <f>_xlfn.XLOOKUP(I45,'rank lookup'!$A$1:$A$21,'rank lookup'!$B$1:$B$21,,0)</f>
        <v>21</v>
      </c>
      <c r="K45" s="1"/>
      <c r="L45" s="25">
        <v>185</v>
      </c>
      <c r="M45" s="25">
        <v>196</v>
      </c>
      <c r="N45" s="5">
        <f>M45/(L45*L45)*10000</f>
        <v>57.268078889700504</v>
      </c>
      <c r="O45" s="4">
        <f>CONVERT(L45,"cm","in")</f>
        <v>72.834645669291348</v>
      </c>
      <c r="P45">
        <f>_xlfn.FLOOR.MATH(O45/12)</f>
        <v>6</v>
      </c>
      <c r="Q45">
        <f>ROUND(O45-P45*12,1)</f>
        <v>0.8</v>
      </c>
      <c r="R45" t="str">
        <f>P45&amp;"' "&amp;Q45&amp;""""</f>
        <v>6' 0.8"</v>
      </c>
      <c r="S45">
        <f>ROUND(CONVERT(M45,"kg","lbm"),0)</f>
        <v>432</v>
      </c>
      <c r="T45">
        <f t="shared" si="1"/>
        <v>20</v>
      </c>
      <c r="U45">
        <f t="shared" si="1"/>
        <v>1</v>
      </c>
      <c r="V45">
        <f t="shared" si="1"/>
        <v>1</v>
      </c>
    </row>
    <row r="46" spans="1:22">
      <c r="A46" s="1" t="s">
        <v>114</v>
      </c>
      <c r="B46" s="1"/>
      <c r="C46" s="1" t="s">
        <v>31</v>
      </c>
      <c r="D46" s="1" t="s">
        <v>31</v>
      </c>
      <c r="E46" s="1" t="s">
        <v>31</v>
      </c>
      <c r="F46" s="1" t="s">
        <v>31</v>
      </c>
      <c r="G46" s="1" t="s">
        <v>42</v>
      </c>
      <c r="H46" s="1" t="s">
        <v>148</v>
      </c>
      <c r="I46" s="1"/>
      <c r="J46" s="1" t="e">
        <f>_xlfn.XLOOKUP(I46,'rank lookup'!$A$1:$A$21,'rank lookup'!$B$1:$B$21,,0)</f>
        <v>#N/A</v>
      </c>
      <c r="K46" s="1"/>
      <c r="L46" s="23">
        <v>182</v>
      </c>
      <c r="M46" s="23">
        <v>132</v>
      </c>
      <c r="N46" s="5">
        <f>M46/(L46*L46)*10000</f>
        <v>39.850259630479414</v>
      </c>
      <c r="O46" s="4">
        <f>CONVERT(L46,"cm","in")</f>
        <v>71.653543307086608</v>
      </c>
      <c r="P46">
        <f>_xlfn.FLOOR.MATH(O46/12)</f>
        <v>5</v>
      </c>
      <c r="Q46">
        <f>ROUND(O46-P46*12,1)</f>
        <v>11.7</v>
      </c>
      <c r="R46" t="str">
        <f>P46&amp;"' "&amp;Q46&amp;""""</f>
        <v>5' 11.7"</v>
      </c>
      <c r="S46">
        <f>ROUND(CONVERT(M46,"kg","lbm"),0)</f>
        <v>291</v>
      </c>
    </row>
    <row r="47" spans="1:22">
      <c r="A47" s="1" t="s">
        <v>190</v>
      </c>
      <c r="F47" t="s">
        <v>151</v>
      </c>
      <c r="G47" s="1" t="s">
        <v>170</v>
      </c>
      <c r="H47" s="1" t="s">
        <v>154</v>
      </c>
      <c r="I47" s="1"/>
      <c r="J47" s="1" t="e">
        <f>_xlfn.XLOOKUP(I47,'rank lookup'!$A$1:$A$21,'rank lookup'!$B$1:$B$21,,0)</f>
        <v>#N/A</v>
      </c>
      <c r="L47" s="23">
        <v>171</v>
      </c>
      <c r="M47" s="23">
        <v>171</v>
      </c>
      <c r="N47" s="5">
        <f>M47/(L47*L47)*10000</f>
        <v>58.479532163742689</v>
      </c>
      <c r="O47" s="4">
        <f>CONVERT(L47,"cm","in")</f>
        <v>67.322834645669289</v>
      </c>
      <c r="P47">
        <f>_xlfn.FLOOR.MATH(O47/12)</f>
        <v>5</v>
      </c>
      <c r="Q47">
        <f>ROUND(O47-P47*12,1)</f>
        <v>7.3</v>
      </c>
      <c r="R47" t="str">
        <f>P47&amp;"' "&amp;Q47&amp;""""</f>
        <v>5' 7.3"</v>
      </c>
      <c r="S47">
        <f>ROUND(CONVERT(M47,"kg","lbm"),0)</f>
        <v>377</v>
      </c>
    </row>
    <row r="48" spans="1:22">
      <c r="A48" s="1" t="s">
        <v>89</v>
      </c>
      <c r="B48" s="1">
        <v>1</v>
      </c>
      <c r="C48" s="1" t="s">
        <v>42</v>
      </c>
      <c r="D48" s="1" t="s">
        <v>136</v>
      </c>
      <c r="E48" s="1" t="s">
        <v>135</v>
      </c>
      <c r="F48" s="1" t="s">
        <v>170</v>
      </c>
      <c r="G48" s="1" t="s">
        <v>150</v>
      </c>
      <c r="H48" s="1" t="s">
        <v>179</v>
      </c>
      <c r="I48" s="1"/>
      <c r="J48" s="1" t="e">
        <f>_xlfn.XLOOKUP(I48,'rank lookup'!$A$1:$A$21,'rank lookup'!$B$1:$B$21,,0)</f>
        <v>#N/A</v>
      </c>
      <c r="K48" s="1"/>
      <c r="L48" s="23">
        <v>191</v>
      </c>
      <c r="M48" s="23">
        <v>219</v>
      </c>
      <c r="N48" s="5">
        <f>M48/(L48*L48)*10000</f>
        <v>60.031249143389715</v>
      </c>
      <c r="O48" s="4">
        <f>CONVERT(L48,"cm","in")</f>
        <v>75.196850393700785</v>
      </c>
      <c r="P48">
        <f>_xlfn.FLOOR.MATH(O48/12)</f>
        <v>6</v>
      </c>
      <c r="Q48">
        <f>ROUND(O48-P48*12,1)</f>
        <v>3.2</v>
      </c>
      <c r="R48" t="str">
        <f>P48&amp;"' "&amp;Q48&amp;""""</f>
        <v>6' 3.2"</v>
      </c>
      <c r="S48">
        <f>ROUND(CONVERT(M48,"kg","lbm"),0)</f>
        <v>483</v>
      </c>
    </row>
    <row r="49" spans="1:19">
      <c r="A49" s="1" t="s">
        <v>98</v>
      </c>
      <c r="B49" s="1"/>
      <c r="C49" s="1" t="s">
        <v>150</v>
      </c>
      <c r="D49" s="1" t="s">
        <v>151</v>
      </c>
      <c r="E49" s="1" t="s">
        <v>151</v>
      </c>
      <c r="F49" s="1" t="s">
        <v>142</v>
      </c>
      <c r="G49" s="1" t="s">
        <v>152</v>
      </c>
      <c r="H49" s="1" t="s">
        <v>170</v>
      </c>
      <c r="I49" s="1"/>
      <c r="J49" s="1" t="e">
        <f>_xlfn.XLOOKUP(I49,'rank lookup'!$A$1:$A$21,'rank lookup'!$B$1:$B$21,,0)</f>
        <v>#N/A</v>
      </c>
      <c r="K49" s="1"/>
      <c r="L49" s="23">
        <v>187</v>
      </c>
      <c r="M49" s="23">
        <v>144</v>
      </c>
      <c r="N49" s="5">
        <f>M49/(L49*L49)*10000</f>
        <v>41.179330263948074</v>
      </c>
      <c r="O49" s="4">
        <f>CONVERT(L49,"cm","in")</f>
        <v>73.622047244094489</v>
      </c>
      <c r="P49">
        <f>_xlfn.FLOOR.MATH(O49/12)</f>
        <v>6</v>
      </c>
      <c r="Q49">
        <f>ROUND(O49-P49*12,1)</f>
        <v>1.6</v>
      </c>
      <c r="R49" t="str">
        <f>P49&amp;"' "&amp;Q49&amp;""""</f>
        <v>6' 1.6"</v>
      </c>
      <c r="S49">
        <f>ROUND(CONVERT(M49,"kg","lbm"),0)</f>
        <v>317</v>
      </c>
    </row>
    <row r="50" spans="1:19">
      <c r="A50" t="s">
        <v>153</v>
      </c>
      <c r="C50" s="1" t="s">
        <v>154</v>
      </c>
      <c r="D50" s="1" t="s">
        <v>170</v>
      </c>
      <c r="E50" s="1" t="s">
        <v>152</v>
      </c>
      <c r="F50" s="1" t="s">
        <v>186</v>
      </c>
      <c r="G50" s="1" t="s">
        <v>154</v>
      </c>
      <c r="H50" s="1" t="s">
        <v>192</v>
      </c>
      <c r="I50" s="1"/>
      <c r="J50" s="1" t="e">
        <f>_xlfn.XLOOKUP(I50,'rank lookup'!$A$1:$A$21,'rank lookup'!$B$1:$B$21,,0)</f>
        <v>#N/A</v>
      </c>
      <c r="K50" s="1"/>
      <c r="L50" s="23">
        <v>189</v>
      </c>
      <c r="M50" s="23">
        <v>199</v>
      </c>
      <c r="N50" s="5">
        <f>M50/(L50*L50)*10000</f>
        <v>55.709526608997514</v>
      </c>
      <c r="O50" s="4">
        <f>CONVERT(L50,"cm","in")</f>
        <v>74.409448818897644</v>
      </c>
      <c r="P50">
        <f>_xlfn.FLOOR.MATH(O50/12)</f>
        <v>6</v>
      </c>
      <c r="Q50">
        <f>ROUND(O50-P50*12,1)</f>
        <v>2.4</v>
      </c>
      <c r="R50" t="str">
        <f>P50&amp;"' "&amp;Q50&amp;""""</f>
        <v>6' 2.4"</v>
      </c>
      <c r="S50">
        <f>ROUND(CONVERT(M50,"kg","lbm"),0)</f>
        <v>439</v>
      </c>
    </row>
    <row r="51" spans="1:19">
      <c r="A51" s="1" t="s">
        <v>166</v>
      </c>
      <c r="D51" t="s">
        <v>151</v>
      </c>
      <c r="E51" s="1" t="s">
        <v>151</v>
      </c>
      <c r="F51" s="1" t="s">
        <v>147</v>
      </c>
      <c r="G51" s="1" t="s">
        <v>192</v>
      </c>
      <c r="H51" s="1" t="s">
        <v>245</v>
      </c>
      <c r="I51" s="1"/>
      <c r="J51" s="1" t="e">
        <f>_xlfn.XLOOKUP(I51,'rank lookup'!$A$1:$A$21,'rank lookup'!$B$1:$B$21,,0)</f>
        <v>#N/A</v>
      </c>
      <c r="K51" s="1"/>
      <c r="L51" s="23">
        <v>192</v>
      </c>
      <c r="M51" s="23">
        <v>159</v>
      </c>
      <c r="N51" s="5">
        <f>M51/(L51*L51)*10000</f>
        <v>43.131510416666671</v>
      </c>
      <c r="O51" s="4">
        <f>CONVERT(L51,"cm","in")</f>
        <v>75.59055118110237</v>
      </c>
      <c r="P51">
        <f>_xlfn.FLOOR.MATH(O51/12)</f>
        <v>6</v>
      </c>
      <c r="Q51">
        <f>ROUND(O51-P51*12,1)</f>
        <v>3.6</v>
      </c>
      <c r="R51" t="str">
        <f>P51&amp;"' "&amp;Q51&amp;""""</f>
        <v>6' 3.6"</v>
      </c>
      <c r="S51">
        <f>ROUND(CONVERT(M51,"kg","lbm"),0)</f>
        <v>351</v>
      </c>
    </row>
    <row r="52" spans="1:19">
      <c r="A52" s="1" t="s">
        <v>87</v>
      </c>
      <c r="B52" s="1">
        <v>1</v>
      </c>
      <c r="C52" s="1" t="s">
        <v>142</v>
      </c>
      <c r="D52" s="1" t="s">
        <v>142</v>
      </c>
      <c r="E52" s="1" t="s">
        <v>147</v>
      </c>
      <c r="F52" s="1" t="s">
        <v>192</v>
      </c>
      <c r="G52" s="1" t="s">
        <v>232</v>
      </c>
      <c r="H52" s="1" t="s">
        <v>179</v>
      </c>
      <c r="I52" s="1"/>
      <c r="J52" s="1" t="e">
        <f>_xlfn.XLOOKUP(I52,'rank lookup'!$A$1:$A$21,'rank lookup'!$B$1:$B$21,,0)</f>
        <v>#N/A</v>
      </c>
      <c r="K52" s="1"/>
      <c r="L52" s="23">
        <v>192</v>
      </c>
      <c r="M52" s="23">
        <v>189</v>
      </c>
      <c r="N52" s="5">
        <f>M52/(L52*L52)*10000</f>
        <v>51.26953125</v>
      </c>
      <c r="O52" s="4">
        <f>CONVERT(L52,"cm","in")</f>
        <v>75.59055118110237</v>
      </c>
      <c r="P52">
        <f>_xlfn.FLOOR.MATH(O52/12)</f>
        <v>6</v>
      </c>
      <c r="Q52">
        <f>ROUND(O52-P52*12,1)</f>
        <v>3.6</v>
      </c>
      <c r="R52" t="str">
        <f>P52&amp;"' "&amp;Q52&amp;""""</f>
        <v>6' 3.6"</v>
      </c>
      <c r="S52">
        <f>ROUND(CONVERT(M52,"kg","lbm"),0)</f>
        <v>417</v>
      </c>
    </row>
    <row r="53" spans="1:19">
      <c r="A53" s="1" t="s">
        <v>90</v>
      </c>
      <c r="B53" s="1"/>
      <c r="C53" s="1" t="s">
        <v>148</v>
      </c>
      <c r="D53" s="1" t="s">
        <v>150</v>
      </c>
      <c r="E53" s="1" t="s">
        <v>148</v>
      </c>
      <c r="F53" s="1" t="s">
        <v>179</v>
      </c>
      <c r="G53" s="1"/>
      <c r="H53" s="1"/>
      <c r="I53" s="1"/>
      <c r="J53" s="1" t="e">
        <f>_xlfn.XLOOKUP(I53,'rank lookup'!$A$1:$A$21,'rank lookup'!$B$1:$B$21,,0)</f>
        <v>#N/A</v>
      </c>
      <c r="K53" s="1"/>
      <c r="L53" s="23">
        <v>189</v>
      </c>
      <c r="M53" s="23">
        <v>161</v>
      </c>
      <c r="N53" s="5">
        <f>M53/(L53*L53)*10000</f>
        <v>45.071526553008034</v>
      </c>
      <c r="O53" s="4">
        <f>CONVERT(L53,"cm","in")</f>
        <v>74.409448818897644</v>
      </c>
      <c r="P53">
        <f>_xlfn.FLOOR.MATH(O53/12)</f>
        <v>6</v>
      </c>
      <c r="Q53">
        <f>ROUND(O53-P53*12,1)</f>
        <v>2.4</v>
      </c>
      <c r="R53" t="str">
        <f>P53&amp;"' "&amp;Q53&amp;""""</f>
        <v>6' 2.4"</v>
      </c>
      <c r="S53">
        <f>ROUND(CONVERT(M53,"kg","lbm"),0)</f>
        <v>355</v>
      </c>
    </row>
    <row r="54" spans="1:19">
      <c r="A54" t="s">
        <v>119</v>
      </c>
      <c r="E54" s="1" t="s">
        <v>154</v>
      </c>
      <c r="F54" s="1" t="s">
        <v>169</v>
      </c>
      <c r="G54" s="1" t="s">
        <v>180</v>
      </c>
      <c r="H54" s="1" t="s">
        <v>246</v>
      </c>
      <c r="I54" s="1"/>
      <c r="J54" s="1" t="e">
        <f>_xlfn.XLOOKUP(I54,'rank lookup'!$A$1:$A$21,'rank lookup'!$B$1:$B$21,,0)</f>
        <v>#N/A</v>
      </c>
      <c r="K54" s="1"/>
      <c r="L54" s="23">
        <v>178</v>
      </c>
      <c r="M54" s="23">
        <v>166</v>
      </c>
      <c r="N54" s="5">
        <f>M54/(L54*L54)*10000</f>
        <v>52.392374700164119</v>
      </c>
      <c r="O54" s="4">
        <f>CONVERT(L54,"cm","in")</f>
        <v>70.078740157480311</v>
      </c>
      <c r="P54">
        <f>_xlfn.FLOOR.MATH(O54/12)</f>
        <v>5</v>
      </c>
      <c r="Q54">
        <f>ROUND(O54-P54*12,1)</f>
        <v>10.1</v>
      </c>
      <c r="R54" t="str">
        <f>P54&amp;"' "&amp;Q54&amp;""""</f>
        <v>5' 10.1"</v>
      </c>
      <c r="S54">
        <f>ROUND(CONVERT(M54,"kg","lbm"),0)</f>
        <v>366</v>
      </c>
    </row>
    <row r="55" spans="1:19">
      <c r="A55" s="1" t="s">
        <v>113</v>
      </c>
      <c r="B55" s="1"/>
      <c r="C55" s="1" t="s">
        <v>147</v>
      </c>
      <c r="D55" s="1" t="s">
        <v>148</v>
      </c>
      <c r="E55" s="1" t="s">
        <v>179</v>
      </c>
      <c r="F55" s="1"/>
      <c r="G55" s="1"/>
      <c r="H55" s="1"/>
      <c r="I55" s="1"/>
      <c r="J55" s="1" t="e">
        <f>_xlfn.XLOOKUP(I55,'rank lookup'!$A$1:$A$21,'rank lookup'!$B$1:$B$21,,0)</f>
        <v>#N/A</v>
      </c>
      <c r="K55" s="1"/>
      <c r="L55" s="23">
        <v>181</v>
      </c>
      <c r="M55" s="23">
        <v>189</v>
      </c>
      <c r="N55" s="5">
        <f>M55/(L55*L55)*10000</f>
        <v>57.690546686609082</v>
      </c>
      <c r="O55" s="4">
        <f>CONVERT(L55,"cm","in")</f>
        <v>71.259842519685037</v>
      </c>
      <c r="P55">
        <f>_xlfn.FLOOR.MATH(O55/12)</f>
        <v>5</v>
      </c>
      <c r="Q55">
        <f>ROUND(O55-P55*12,1)</f>
        <v>11.3</v>
      </c>
      <c r="R55" t="str">
        <f>P55&amp;"' "&amp;Q55&amp;""""</f>
        <v>5' 11.3"</v>
      </c>
      <c r="S55">
        <f>ROUND(CONVERT(M55,"kg","lbm"),0)</f>
        <v>417</v>
      </c>
    </row>
    <row r="56" spans="1:19">
      <c r="A56" s="1" t="s">
        <v>126</v>
      </c>
      <c r="B56" s="1"/>
      <c r="C56" s="1" t="s">
        <v>152</v>
      </c>
      <c r="D56" s="1" t="s">
        <v>154</v>
      </c>
      <c r="E56" s="1" t="s">
        <v>180</v>
      </c>
      <c r="F56" s="1" t="s">
        <v>194</v>
      </c>
      <c r="G56" s="1" t="s">
        <v>233</v>
      </c>
      <c r="H56" s="1"/>
      <c r="I56" s="1"/>
      <c r="J56" s="1" t="e">
        <f>_xlfn.XLOOKUP(I56,'rank lookup'!$A$1:$A$21,'rank lookup'!$B$1:$B$21,,0)</f>
        <v>#N/A</v>
      </c>
      <c r="K56" s="1"/>
      <c r="L56" s="23">
        <v>169</v>
      </c>
      <c r="M56" s="23">
        <v>107</v>
      </c>
      <c r="N56" s="5">
        <f>M56/(L56*L56)*10000</f>
        <v>37.463674241098005</v>
      </c>
      <c r="O56" s="4">
        <f>CONVERT(L56,"cm","in")</f>
        <v>66.535433070866134</v>
      </c>
      <c r="P56">
        <f>_xlfn.FLOOR.MATH(O56/12)</f>
        <v>5</v>
      </c>
      <c r="Q56">
        <f>ROUND(O56-P56*12,1)</f>
        <v>6.5</v>
      </c>
      <c r="R56" t="str">
        <f>P56&amp;"' "&amp;Q56&amp;""""</f>
        <v>5' 6.5"</v>
      </c>
      <c r="S56">
        <f>ROUND(CONVERT(M56,"kg","lbm"),0)</f>
        <v>236</v>
      </c>
    </row>
    <row r="57" spans="1:19">
      <c r="A57" s="1" t="s">
        <v>107</v>
      </c>
      <c r="B57" s="1"/>
      <c r="C57" s="1" t="s">
        <v>151</v>
      </c>
      <c r="D57" s="1" t="s">
        <v>169</v>
      </c>
      <c r="E57" s="1" t="s">
        <v>179</v>
      </c>
      <c r="F57" s="1"/>
      <c r="G57" s="1"/>
      <c r="H57" s="1"/>
      <c r="I57" s="1"/>
      <c r="J57" s="1" t="e">
        <f>_xlfn.XLOOKUP(I57,'rank lookup'!$A$1:$A$21,'rank lookup'!$B$1:$B$21,,0)</f>
        <v>#N/A</v>
      </c>
      <c r="K57" s="1"/>
      <c r="L57" s="23">
        <v>185</v>
      </c>
      <c r="M57" s="23">
        <v>181</v>
      </c>
      <c r="N57" s="5">
        <f>M57/(L57*L57)*10000</f>
        <v>52.885317750182615</v>
      </c>
      <c r="O57" s="4">
        <f>CONVERT(L57,"cm","in")</f>
        <v>72.834645669291348</v>
      </c>
      <c r="P57">
        <f>_xlfn.FLOOR.MATH(O57/12)</f>
        <v>6</v>
      </c>
      <c r="Q57">
        <f>ROUND(O57-P57*12,1)</f>
        <v>0.8</v>
      </c>
      <c r="R57" t="str">
        <f>P57&amp;"' "&amp;Q57&amp;""""</f>
        <v>6' 0.8"</v>
      </c>
      <c r="S57">
        <f>ROUND(CONVERT(M57,"kg","lbm"),0)</f>
        <v>399</v>
      </c>
    </row>
    <row r="58" spans="1:19">
      <c r="A58" s="1" t="s">
        <v>248</v>
      </c>
      <c r="L58" s="23">
        <v>190.5</v>
      </c>
      <c r="M58" s="23">
        <v>97.5</v>
      </c>
      <c r="N58" s="5">
        <f>M58/(L58*L58)*10000</f>
        <v>26.866720400107468</v>
      </c>
      <c r="O58" s="4">
        <f>CONVERT(L58,"cm","in")</f>
        <v>75</v>
      </c>
      <c r="P58">
        <f>_xlfn.FLOOR.MATH(O58/12)</f>
        <v>6</v>
      </c>
      <c r="Q58">
        <f>ROUND(O58-P58*12,1)</f>
        <v>3</v>
      </c>
      <c r="R58" t="str">
        <f>P58&amp;"' "&amp;Q58&amp;""""</f>
        <v>6' 3"</v>
      </c>
      <c r="S58">
        <f>ROUND(CONVERT(M58,"kg","lbm"),0)</f>
        <v>215</v>
      </c>
    </row>
  </sheetData>
  <autoFilter ref="A3:S55" xr:uid="{7067DD38-AD06-4250-9520-A2F29B57D9C0}">
    <sortState xmlns:xlrd2="http://schemas.microsoft.com/office/spreadsheetml/2017/richdata2" ref="A4:S58">
      <sortCondition ref="J3:J55"/>
    </sortState>
  </autoFilter>
  <hyperlinks>
    <hyperlink ref="C2" r:id="rId1" xr:uid="{87466BF1-5609-4E2B-8758-117ACA38F38B}"/>
    <hyperlink ref="L2" r:id="rId2" xr:uid="{C0442D72-5253-4BBA-8D3E-783A60997DCF}"/>
  </hyperlinks>
  <pageMargins left="0.7" right="0.7" top="0.75" bottom="0.75" header="0.3" footer="0.3"/>
  <pageSetup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38580-91F7-4D0E-9E3A-80F41966CC19}">
  <sheetPr codeName="Sheet9"/>
  <dimension ref="A1:B155"/>
  <sheetViews>
    <sheetView topLeftCell="A140" workbookViewId="0">
      <selection activeCell="A156" sqref="A156"/>
    </sheetView>
  </sheetViews>
  <sheetFormatPr defaultRowHeight="14.5"/>
  <cols>
    <col min="1" max="1" width="25.81640625" bestFit="1" customWidth="1"/>
    <col min="2" max="2" width="40.54296875" customWidth="1"/>
    <col min="3" max="3" width="2.54296875" customWidth="1"/>
    <col min="4" max="4" width="20.54296875" customWidth="1"/>
    <col min="5" max="5" width="40.54296875" customWidth="1"/>
  </cols>
  <sheetData>
    <row r="1" spans="1:2">
      <c r="A1" t="s">
        <v>0</v>
      </c>
      <c r="B1" t="s">
        <v>253</v>
      </c>
    </row>
    <row r="2" spans="1:2">
      <c r="B2" s="17"/>
    </row>
    <row r="5" spans="1:2">
      <c r="A5" s="3" t="s">
        <v>1</v>
      </c>
    </row>
    <row r="6" spans="1:2">
      <c r="A6" t="s">
        <v>158</v>
      </c>
      <c r="B6" t="s">
        <v>2</v>
      </c>
    </row>
    <row r="7" spans="1:2">
      <c r="A7" t="s">
        <v>129</v>
      </c>
    </row>
    <row r="9" spans="1:2">
      <c r="A9" t="s">
        <v>130</v>
      </c>
    </row>
    <row r="10" spans="1:2">
      <c r="A10" s="17" t="s">
        <v>127</v>
      </c>
    </row>
    <row r="12" spans="1:2" ht="25">
      <c r="A12" s="18" t="s">
        <v>128</v>
      </c>
    </row>
    <row r="14" spans="1:2" ht="25">
      <c r="A14" s="18"/>
    </row>
    <row r="38" spans="1:1">
      <c r="A38" t="s">
        <v>159</v>
      </c>
    </row>
    <row r="39" spans="1:1">
      <c r="A39" t="s">
        <v>157</v>
      </c>
    </row>
    <row r="137" spans="1:1">
      <c r="A137" t="s">
        <v>160</v>
      </c>
    </row>
    <row r="138" spans="1:1">
      <c r="A138" s="17" t="s">
        <v>134</v>
      </c>
    </row>
    <row r="139" spans="1:1">
      <c r="A139" t="s">
        <v>161</v>
      </c>
    </row>
    <row r="141" spans="1:1">
      <c r="A141" t="s">
        <v>183</v>
      </c>
    </row>
    <row r="142" spans="1:1">
      <c r="A142" s="17" t="s">
        <v>134</v>
      </c>
    </row>
    <row r="143" spans="1:1">
      <c r="A143" t="s">
        <v>184</v>
      </c>
    </row>
    <row r="145" spans="1:1">
      <c r="A145" t="s">
        <v>214</v>
      </c>
    </row>
    <row r="146" spans="1:1">
      <c r="A146" s="17" t="s">
        <v>134</v>
      </c>
    </row>
    <row r="147" spans="1:1">
      <c r="A147" t="s">
        <v>215</v>
      </c>
    </row>
    <row r="149" spans="1:1">
      <c r="A149" t="s">
        <v>235</v>
      </c>
    </row>
    <row r="150" spans="1:1">
      <c r="A150" s="17" t="s">
        <v>134</v>
      </c>
    </row>
    <row r="151" spans="1:1">
      <c r="A151" t="s">
        <v>236</v>
      </c>
    </row>
    <row r="153" spans="1:1">
      <c r="A153" t="s">
        <v>254</v>
      </c>
    </row>
    <row r="154" spans="1:1">
      <c r="A154" s="17" t="s">
        <v>134</v>
      </c>
    </row>
    <row r="155" spans="1:1">
      <c r="A155" t="s">
        <v>255</v>
      </c>
    </row>
  </sheetData>
  <hyperlinks>
    <hyperlink ref="A10" r:id="rId1" xr:uid="{31C73356-7DC0-4298-8CDD-38AFBFE809D7}"/>
    <hyperlink ref="A138" r:id="rId2" xr:uid="{733FC5E5-E250-451A-8A90-1D3BCA57DC39}"/>
    <hyperlink ref="A142" r:id="rId3" xr:uid="{7EFEF7D6-1FE3-4B02-8704-088365A1D545}"/>
    <hyperlink ref="A146" r:id="rId4" xr:uid="{2868AD04-8A08-4848-AFD8-AB4F6CFF8232}"/>
    <hyperlink ref="A150" r:id="rId5" xr:uid="{D36DF8E3-A375-4A42-9FB5-51B20BFE54A5}"/>
    <hyperlink ref="A154" r:id="rId6" xr:uid="{A8CD8906-4AE4-4546-B753-7549D03B6637}"/>
  </hyperlinks>
  <pageMargins left="0.7" right="0.7" top="0.75" bottom="0.75" header="0.3" footer="0.3"/>
  <pageSetup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BA818-88B3-4AEA-9152-6A5AF77C3B55}">
  <dimension ref="A1:W49"/>
  <sheetViews>
    <sheetView topLeftCell="D10" zoomScale="106" zoomScaleNormal="106" workbookViewId="0">
      <selection activeCell="A10" sqref="A10"/>
    </sheetView>
  </sheetViews>
  <sheetFormatPr defaultRowHeight="14.5"/>
  <cols>
    <col min="1" max="7" width="21.1796875" customWidth="1"/>
    <col min="10" max="10" width="11.26953125" bestFit="1" customWidth="1"/>
    <col min="11" max="11" width="8.7265625" style="4"/>
    <col min="18" max="18" width="9.54296875" customWidth="1"/>
  </cols>
  <sheetData>
    <row r="1" spans="1:23">
      <c r="C1" t="s">
        <v>174</v>
      </c>
      <c r="H1" t="s">
        <v>178</v>
      </c>
    </row>
    <row r="2" spans="1:23">
      <c r="C2" s="17" t="s">
        <v>162</v>
      </c>
      <c r="D2" s="17"/>
      <c r="E2" s="17"/>
      <c r="P2">
        <f>MAX(P4:P45)</f>
        <v>42</v>
      </c>
      <c r="Q2">
        <f>MAX(Q4:Q45)</f>
        <v>42</v>
      </c>
      <c r="R2">
        <f>MAX(R4:R45)</f>
        <v>42</v>
      </c>
    </row>
    <row r="3" spans="1:23">
      <c r="A3" t="s">
        <v>3</v>
      </c>
      <c r="B3" t="s">
        <v>11</v>
      </c>
      <c r="C3" t="s">
        <v>131</v>
      </c>
      <c r="D3" t="s">
        <v>163</v>
      </c>
      <c r="E3" t="s">
        <v>175</v>
      </c>
      <c r="F3" t="s">
        <v>177</v>
      </c>
      <c r="G3" t="s">
        <v>164</v>
      </c>
      <c r="H3" t="s">
        <v>5</v>
      </c>
      <c r="I3" t="s">
        <v>4</v>
      </c>
      <c r="J3" t="s">
        <v>26</v>
      </c>
      <c r="K3" s="4" t="s">
        <v>6</v>
      </c>
      <c r="L3" t="s">
        <v>7</v>
      </c>
      <c r="M3" t="s">
        <v>8</v>
      </c>
      <c r="N3" t="s">
        <v>9</v>
      </c>
      <c r="O3" t="s">
        <v>10</v>
      </c>
      <c r="P3" t="s">
        <v>171</v>
      </c>
      <c r="Q3" t="s">
        <v>172</v>
      </c>
      <c r="R3" t="s">
        <v>173</v>
      </c>
      <c r="S3" t="s">
        <v>181</v>
      </c>
      <c r="T3" s="14" t="s">
        <v>182</v>
      </c>
      <c r="W3">
        <f>SUM(W4:W23)</f>
        <v>41</v>
      </c>
    </row>
    <row r="4" spans="1:23" ht="25">
      <c r="A4" s="1" t="s">
        <v>86</v>
      </c>
      <c r="B4" s="1">
        <v>7</v>
      </c>
      <c r="C4" s="1" t="s">
        <v>14</v>
      </c>
      <c r="D4" s="1" t="s">
        <v>14</v>
      </c>
      <c r="E4" s="1" t="s">
        <v>14</v>
      </c>
      <c r="F4" s="1">
        <f>_xlfn.XLOOKUP(E4,'rank lookup'!$A$1:$A$21,'rank lookup'!$B$1:$B$21,,0)</f>
        <v>1</v>
      </c>
      <c r="G4" s="1" t="s">
        <v>176</v>
      </c>
      <c r="H4" s="19">
        <v>192</v>
      </c>
      <c r="I4" s="19">
        <v>180</v>
      </c>
      <c r="J4" s="5">
        <f t="shared" ref="J4:J49" si="0">I4/(H4*H4)*10000</f>
        <v>48.828125</v>
      </c>
      <c r="K4" s="4">
        <f t="shared" ref="K4:K49" si="1">CONVERT(H4,"cm","in")</f>
        <v>75.59055118110237</v>
      </c>
      <c r="L4">
        <f t="shared" ref="L4:L49" si="2">_xlfn.FLOOR.MATH(K4/12)</f>
        <v>6</v>
      </c>
      <c r="M4">
        <f t="shared" ref="M4:M49" si="3">ROUND(K4-L4*12,1)</f>
        <v>3.6</v>
      </c>
      <c r="N4" t="str">
        <f t="shared" ref="N4:N49" si="4">L4&amp;"' "&amp;M4&amp;""""</f>
        <v>6' 3.6"</v>
      </c>
      <c r="O4">
        <f t="shared" ref="O4:O49" si="5">ROUND(CONVERT(I4,"kg","lbm"),0)</f>
        <v>397</v>
      </c>
      <c r="P4">
        <f>_xlfn.RANK.EQ(H4,H$4:H$45)</f>
        <v>2</v>
      </c>
      <c r="Q4">
        <f>_xlfn.RANK.EQ(I4,I$4:I$45)</f>
        <v>7</v>
      </c>
      <c r="R4">
        <f>_xlfn.RANK.EQ(J4,J$4:J$45)</f>
        <v>16</v>
      </c>
      <c r="S4">
        <f>_xlfn.XLOOKUP(A4,'November 2022 Data'!$A$4:$A$48,'November 2022 Data'!$H$4:$H$48,,0)</f>
        <v>181</v>
      </c>
      <c r="T4">
        <f>I4-S4</f>
        <v>-1</v>
      </c>
      <c r="V4" cm="1">
        <f t="array" ref="V4:V23">_xlfn.SEQUENCE(20,1,-3)</f>
        <v>-3</v>
      </c>
      <c r="W4">
        <f>COUNTIFS($T$4:$T$44,V4)</f>
        <v>3</v>
      </c>
    </row>
    <row r="5" spans="1:23">
      <c r="A5" s="1" t="s">
        <v>123</v>
      </c>
      <c r="B5" s="1">
        <v>2</v>
      </c>
      <c r="C5" s="1" t="s">
        <v>39</v>
      </c>
      <c r="D5" s="1" t="s">
        <v>39</v>
      </c>
      <c r="E5" s="1" t="s">
        <v>39</v>
      </c>
      <c r="F5" s="1">
        <f>_xlfn.XLOOKUP(E5,'rank lookup'!$A$1:$A$21,'rank lookup'!$B$1:$B$21,,0)</f>
        <v>2</v>
      </c>
      <c r="G5" s="1"/>
      <c r="H5" s="19">
        <v>175</v>
      </c>
      <c r="I5" s="19">
        <v>165</v>
      </c>
      <c r="J5" s="5">
        <f t="shared" si="0"/>
        <v>53.877551020408163</v>
      </c>
      <c r="K5" s="4">
        <f t="shared" si="1"/>
        <v>68.897637795275585</v>
      </c>
      <c r="L5">
        <f t="shared" si="2"/>
        <v>5</v>
      </c>
      <c r="M5">
        <f t="shared" si="3"/>
        <v>8.9</v>
      </c>
      <c r="N5" t="str">
        <f t="shared" si="4"/>
        <v>5' 8.9"</v>
      </c>
      <c r="O5">
        <f t="shared" si="5"/>
        <v>364</v>
      </c>
      <c r="P5">
        <f t="shared" ref="P5:R45" si="6">_xlfn.RANK.EQ(H5,H$4:H$45)</f>
        <v>39</v>
      </c>
      <c r="Q5">
        <f t="shared" si="6"/>
        <v>16</v>
      </c>
      <c r="R5">
        <f t="shared" si="6"/>
        <v>6</v>
      </c>
      <c r="S5">
        <f>_xlfn.XLOOKUP(A5,'November 2022 Data'!$A$4:$A$48,'November 2022 Data'!$H$4:$H$48,,0)</f>
        <v>163</v>
      </c>
      <c r="T5">
        <f t="shared" ref="T5:T44" si="7">I5-S5</f>
        <v>2</v>
      </c>
      <c r="V5">
        <v>-2</v>
      </c>
      <c r="W5">
        <f t="shared" ref="W5:W23" si="8">COUNTIFS($T$4:$T$44,V5)</f>
        <v>1</v>
      </c>
    </row>
    <row r="6" spans="1:23">
      <c r="A6" s="1" t="s">
        <v>109</v>
      </c>
      <c r="B6" s="1">
        <v>1</v>
      </c>
      <c r="C6" s="1" t="s">
        <v>39</v>
      </c>
      <c r="D6" s="1" t="s">
        <v>39</v>
      </c>
      <c r="E6" s="1" t="s">
        <v>31</v>
      </c>
      <c r="F6" s="1">
        <f>_xlfn.XLOOKUP(E6,'rank lookup'!$A$1:$A$21,'rank lookup'!$B$1:$B$21,,0)</f>
        <v>3</v>
      </c>
      <c r="G6" s="1"/>
      <c r="H6" s="19">
        <v>183</v>
      </c>
      <c r="I6" s="19">
        <v>163</v>
      </c>
      <c r="J6" s="5">
        <f t="shared" si="0"/>
        <v>48.672698498014277</v>
      </c>
      <c r="K6" s="4">
        <f t="shared" si="1"/>
        <v>72.047244094488192</v>
      </c>
      <c r="L6">
        <f t="shared" si="2"/>
        <v>6</v>
      </c>
      <c r="M6">
        <f t="shared" si="3"/>
        <v>0</v>
      </c>
      <c r="N6" t="str">
        <f t="shared" si="4"/>
        <v>6' 0"</v>
      </c>
      <c r="O6">
        <f t="shared" si="5"/>
        <v>359</v>
      </c>
      <c r="P6">
        <f t="shared" si="6"/>
        <v>27</v>
      </c>
      <c r="Q6">
        <f t="shared" si="6"/>
        <v>19</v>
      </c>
      <c r="R6">
        <f t="shared" si="6"/>
        <v>19</v>
      </c>
      <c r="S6">
        <f>_xlfn.XLOOKUP(A6,'November 2022 Data'!$A$4:$A$48,'November 2022 Data'!$H$4:$H$48,,0)</f>
        <v>162</v>
      </c>
      <c r="T6">
        <f t="shared" si="7"/>
        <v>1</v>
      </c>
      <c r="V6">
        <v>-1</v>
      </c>
      <c r="W6">
        <f t="shared" si="8"/>
        <v>1</v>
      </c>
    </row>
    <row r="7" spans="1:23">
      <c r="A7" s="1" t="s">
        <v>114</v>
      </c>
      <c r="B7" s="1"/>
      <c r="C7" s="1" t="s">
        <v>31</v>
      </c>
      <c r="D7" s="1" t="s">
        <v>31</v>
      </c>
      <c r="E7" s="1" t="s">
        <v>31</v>
      </c>
      <c r="F7" s="1">
        <f>_xlfn.XLOOKUP(E7,'rank lookup'!$A$1:$A$21,'rank lookup'!$B$1:$B$21,,0)</f>
        <v>3</v>
      </c>
      <c r="H7" s="19">
        <v>183</v>
      </c>
      <c r="I7" s="19">
        <v>135</v>
      </c>
      <c r="J7" s="5">
        <f t="shared" si="0"/>
        <v>40.311744154797097</v>
      </c>
      <c r="K7" s="4">
        <f t="shared" si="1"/>
        <v>72.047244094488192</v>
      </c>
      <c r="L7">
        <f t="shared" si="2"/>
        <v>6</v>
      </c>
      <c r="M7">
        <f t="shared" si="3"/>
        <v>0</v>
      </c>
      <c r="N7" t="str">
        <f t="shared" si="4"/>
        <v>6' 0"</v>
      </c>
      <c r="O7">
        <f t="shared" si="5"/>
        <v>298</v>
      </c>
      <c r="P7">
        <f t="shared" si="6"/>
        <v>27</v>
      </c>
      <c r="Q7">
        <f t="shared" si="6"/>
        <v>39</v>
      </c>
      <c r="R7">
        <f t="shared" si="6"/>
        <v>41</v>
      </c>
      <c r="S7">
        <f>_xlfn.XLOOKUP(A7,'November 2022 Data'!$A$4:$A$48,'November 2022 Data'!$H$4:$H$48,,0)</f>
        <v>132</v>
      </c>
      <c r="T7">
        <f t="shared" si="7"/>
        <v>3</v>
      </c>
      <c r="V7">
        <v>0</v>
      </c>
      <c r="W7">
        <f t="shared" si="8"/>
        <v>6</v>
      </c>
    </row>
    <row r="8" spans="1:23">
      <c r="A8" s="1" t="s">
        <v>95</v>
      </c>
      <c r="B8" s="1"/>
      <c r="C8" s="1" t="s">
        <v>31</v>
      </c>
      <c r="D8" s="1" t="s">
        <v>31</v>
      </c>
      <c r="E8" s="1" t="s">
        <v>31</v>
      </c>
      <c r="F8" s="1">
        <f>_xlfn.XLOOKUP(E8,'rank lookup'!$A$1:$A$21,'rank lookup'!$B$1:$B$21,,0)</f>
        <v>3</v>
      </c>
      <c r="G8" s="1"/>
      <c r="H8" s="19">
        <v>185</v>
      </c>
      <c r="I8" s="19">
        <v>146</v>
      </c>
      <c r="J8" s="5">
        <f t="shared" si="0"/>
        <v>42.658875091307529</v>
      </c>
      <c r="K8" s="4">
        <f t="shared" si="1"/>
        <v>72.834645669291348</v>
      </c>
      <c r="L8">
        <f t="shared" si="2"/>
        <v>6</v>
      </c>
      <c r="M8">
        <f t="shared" si="3"/>
        <v>0.8</v>
      </c>
      <c r="N8" t="str">
        <f t="shared" si="4"/>
        <v>6' 0.8"</v>
      </c>
      <c r="O8">
        <f t="shared" si="5"/>
        <v>322</v>
      </c>
      <c r="P8">
        <f t="shared" si="6"/>
        <v>20</v>
      </c>
      <c r="Q8">
        <f t="shared" si="6"/>
        <v>32</v>
      </c>
      <c r="R8">
        <f t="shared" si="6"/>
        <v>34</v>
      </c>
      <c r="S8">
        <f>_xlfn.XLOOKUP(A8,'November 2022 Data'!$A$4:$A$48,'November 2022 Data'!$H$4:$H$48,,0)</f>
        <v>140</v>
      </c>
      <c r="T8">
        <f t="shared" si="7"/>
        <v>6</v>
      </c>
      <c r="V8">
        <v>1</v>
      </c>
      <c r="W8">
        <f t="shared" si="8"/>
        <v>4</v>
      </c>
    </row>
    <row r="9" spans="1:23">
      <c r="A9" s="1" t="s">
        <v>96</v>
      </c>
      <c r="B9" s="1"/>
      <c r="C9" s="1" t="s">
        <v>139</v>
      </c>
      <c r="D9" s="1" t="s">
        <v>132</v>
      </c>
      <c r="E9" s="1" t="s">
        <v>31</v>
      </c>
      <c r="F9" s="1">
        <f>_xlfn.XLOOKUP(E9,'rank lookup'!$A$1:$A$21,'rank lookup'!$B$1:$B$21,,0)</f>
        <v>3</v>
      </c>
      <c r="G9" s="1"/>
      <c r="H9" s="19">
        <v>186</v>
      </c>
      <c r="I9" s="19">
        <v>182</v>
      </c>
      <c r="J9" s="5">
        <f t="shared" si="0"/>
        <v>52.607237830963122</v>
      </c>
      <c r="K9" s="4">
        <f t="shared" si="1"/>
        <v>73.228346456692918</v>
      </c>
      <c r="L9">
        <f t="shared" si="2"/>
        <v>6</v>
      </c>
      <c r="M9">
        <f t="shared" si="3"/>
        <v>1.2</v>
      </c>
      <c r="N9" t="str">
        <f t="shared" si="4"/>
        <v>6' 1.2"</v>
      </c>
      <c r="O9">
        <f t="shared" si="5"/>
        <v>401</v>
      </c>
      <c r="P9">
        <f t="shared" si="6"/>
        <v>17</v>
      </c>
      <c r="Q9">
        <f t="shared" si="6"/>
        <v>5</v>
      </c>
      <c r="R9">
        <f t="shared" si="6"/>
        <v>8</v>
      </c>
      <c r="S9">
        <f>_xlfn.XLOOKUP(A9,'November 2022 Data'!$A$4:$A$48,'November 2022 Data'!$H$4:$H$48,,0)</f>
        <v>182</v>
      </c>
      <c r="T9">
        <f t="shared" si="7"/>
        <v>0</v>
      </c>
      <c r="V9">
        <v>2</v>
      </c>
      <c r="W9">
        <f t="shared" si="8"/>
        <v>3</v>
      </c>
    </row>
    <row r="10" spans="1:23">
      <c r="A10" s="1" t="s">
        <v>102</v>
      </c>
      <c r="B10" s="1"/>
      <c r="C10" s="1" t="s">
        <v>42</v>
      </c>
      <c r="D10" s="1" t="s">
        <v>42</v>
      </c>
      <c r="E10" s="1" t="s">
        <v>42</v>
      </c>
      <c r="F10" s="1">
        <f>_xlfn.XLOOKUP(E10,'rank lookup'!$A$1:$A$21,'rank lookup'!$B$1:$B$21,,0)</f>
        <v>4</v>
      </c>
      <c r="G10" s="1"/>
      <c r="H10" s="19">
        <v>185</v>
      </c>
      <c r="I10" s="19">
        <v>142</v>
      </c>
      <c r="J10" s="5">
        <f t="shared" si="0"/>
        <v>41.490138787436081</v>
      </c>
      <c r="K10" s="4">
        <f t="shared" si="1"/>
        <v>72.834645669291348</v>
      </c>
      <c r="L10">
        <f t="shared" si="2"/>
        <v>6</v>
      </c>
      <c r="M10">
        <f t="shared" si="3"/>
        <v>0.8</v>
      </c>
      <c r="N10" t="str">
        <f t="shared" si="4"/>
        <v>6' 0.8"</v>
      </c>
      <c r="O10">
        <f t="shared" si="5"/>
        <v>313</v>
      </c>
      <c r="P10">
        <f t="shared" si="6"/>
        <v>20</v>
      </c>
      <c r="Q10">
        <f t="shared" si="6"/>
        <v>36</v>
      </c>
      <c r="R10">
        <f t="shared" si="6"/>
        <v>38</v>
      </c>
      <c r="S10">
        <f>_xlfn.XLOOKUP(A10,'November 2022 Data'!$A$4:$A$48,'November 2022 Data'!$H$4:$H$48,,0)</f>
        <v>138</v>
      </c>
      <c r="T10">
        <f t="shared" si="7"/>
        <v>4</v>
      </c>
      <c r="V10">
        <v>3</v>
      </c>
      <c r="W10">
        <f t="shared" si="8"/>
        <v>10</v>
      </c>
    </row>
    <row r="11" spans="1:23">
      <c r="A11" s="1" t="s">
        <v>94</v>
      </c>
      <c r="B11" s="1"/>
      <c r="C11" s="1" t="s">
        <v>136</v>
      </c>
      <c r="D11" s="1" t="s">
        <v>132</v>
      </c>
      <c r="E11" s="1" t="s">
        <v>42</v>
      </c>
      <c r="F11" s="1">
        <f>_xlfn.XLOOKUP(E11,'rank lookup'!$A$1:$A$21,'rank lookup'!$B$1:$B$21,,0)</f>
        <v>4</v>
      </c>
      <c r="G11" s="1"/>
      <c r="H11" s="19">
        <v>189</v>
      </c>
      <c r="I11" s="19">
        <v>172</v>
      </c>
      <c r="J11" s="5">
        <f t="shared" si="0"/>
        <v>48.150947621847095</v>
      </c>
      <c r="K11" s="4">
        <f t="shared" si="1"/>
        <v>74.409448818897644</v>
      </c>
      <c r="L11">
        <f t="shared" si="2"/>
        <v>6</v>
      </c>
      <c r="M11">
        <f t="shared" si="3"/>
        <v>2.4</v>
      </c>
      <c r="N11" t="str">
        <f t="shared" si="4"/>
        <v>6' 2.4"</v>
      </c>
      <c r="O11">
        <f t="shared" si="5"/>
        <v>379</v>
      </c>
      <c r="P11">
        <f t="shared" si="6"/>
        <v>8</v>
      </c>
      <c r="Q11">
        <f t="shared" si="6"/>
        <v>12</v>
      </c>
      <c r="R11">
        <f t="shared" si="6"/>
        <v>21</v>
      </c>
      <c r="S11">
        <f>_xlfn.XLOOKUP(A11,'November 2022 Data'!$A$4:$A$48,'November 2022 Data'!$H$4:$H$48,,0)</f>
        <v>167</v>
      </c>
      <c r="T11">
        <f t="shared" si="7"/>
        <v>5</v>
      </c>
      <c r="V11">
        <v>4</v>
      </c>
      <c r="W11">
        <f t="shared" si="8"/>
        <v>2</v>
      </c>
    </row>
    <row r="12" spans="1:23">
      <c r="A12" s="1" t="s">
        <v>117</v>
      </c>
      <c r="B12" s="1"/>
      <c r="C12" s="1" t="s">
        <v>136</v>
      </c>
      <c r="D12" s="1" t="s">
        <v>136</v>
      </c>
      <c r="E12" s="1" t="s">
        <v>42</v>
      </c>
      <c r="F12" s="1">
        <f>_xlfn.XLOOKUP(E12,'rank lookup'!$A$1:$A$21,'rank lookup'!$B$1:$B$21,,0)</f>
        <v>4</v>
      </c>
      <c r="G12" s="1"/>
      <c r="H12" s="19">
        <v>180</v>
      </c>
      <c r="I12" s="19">
        <v>158</v>
      </c>
      <c r="J12" s="5">
        <f t="shared" si="0"/>
        <v>48.76543209876543</v>
      </c>
      <c r="K12" s="4">
        <f t="shared" si="1"/>
        <v>70.866141732283467</v>
      </c>
      <c r="L12">
        <f t="shared" si="2"/>
        <v>5</v>
      </c>
      <c r="M12">
        <f t="shared" si="3"/>
        <v>10.9</v>
      </c>
      <c r="N12" t="str">
        <f t="shared" si="4"/>
        <v>5' 10.9"</v>
      </c>
      <c r="O12">
        <f t="shared" si="5"/>
        <v>348</v>
      </c>
      <c r="P12">
        <f t="shared" si="6"/>
        <v>33</v>
      </c>
      <c r="Q12">
        <f t="shared" si="6"/>
        <v>25</v>
      </c>
      <c r="R12">
        <f t="shared" si="6"/>
        <v>17</v>
      </c>
      <c r="S12">
        <f>_xlfn.XLOOKUP(A12,'November 2022 Data'!$A$4:$A$48,'November 2022 Data'!$H$4:$H$48,,0)</f>
        <v>153</v>
      </c>
      <c r="T12">
        <f t="shared" si="7"/>
        <v>5</v>
      </c>
      <c r="V12">
        <v>5</v>
      </c>
      <c r="W12">
        <f t="shared" si="8"/>
        <v>6</v>
      </c>
    </row>
    <row r="13" spans="1:23">
      <c r="A13" s="1" t="s">
        <v>100</v>
      </c>
      <c r="B13" s="1"/>
      <c r="C13" s="1" t="s">
        <v>141</v>
      </c>
      <c r="D13" s="1" t="s">
        <v>139</v>
      </c>
      <c r="E13" s="1" t="s">
        <v>42</v>
      </c>
      <c r="F13" s="1">
        <f>_xlfn.XLOOKUP(E13,'rank lookup'!$A$1:$A$21,'rank lookup'!$B$1:$B$21,,0)</f>
        <v>4</v>
      </c>
      <c r="G13" s="1"/>
      <c r="H13" s="19">
        <v>186</v>
      </c>
      <c r="I13" s="19">
        <v>146</v>
      </c>
      <c r="J13" s="5">
        <f t="shared" si="0"/>
        <v>42.201410567695682</v>
      </c>
      <c r="K13" s="4">
        <f t="shared" si="1"/>
        <v>73.228346456692918</v>
      </c>
      <c r="L13">
        <f t="shared" si="2"/>
        <v>6</v>
      </c>
      <c r="M13">
        <f t="shared" si="3"/>
        <v>1.2</v>
      </c>
      <c r="N13" t="str">
        <f t="shared" si="4"/>
        <v>6' 1.2"</v>
      </c>
      <c r="O13">
        <f t="shared" si="5"/>
        <v>322</v>
      </c>
      <c r="P13">
        <f t="shared" si="6"/>
        <v>17</v>
      </c>
      <c r="Q13">
        <f t="shared" si="6"/>
        <v>32</v>
      </c>
      <c r="R13">
        <f t="shared" si="6"/>
        <v>35</v>
      </c>
      <c r="S13">
        <f>_xlfn.XLOOKUP(A13,'November 2022 Data'!$A$4:$A$48,'November 2022 Data'!$H$4:$H$48,,0)</f>
        <v>135</v>
      </c>
      <c r="T13">
        <f t="shared" si="7"/>
        <v>11</v>
      </c>
      <c r="V13">
        <v>6</v>
      </c>
      <c r="W13">
        <f t="shared" si="8"/>
        <v>1</v>
      </c>
    </row>
    <row r="14" spans="1:23">
      <c r="A14" s="1" t="s">
        <v>112</v>
      </c>
      <c r="B14" s="1">
        <v>1</v>
      </c>
      <c r="C14" s="1" t="s">
        <v>31</v>
      </c>
      <c r="D14" s="1" t="s">
        <v>42</v>
      </c>
      <c r="E14" s="1" t="s">
        <v>132</v>
      </c>
      <c r="F14" s="1">
        <f>_xlfn.XLOOKUP(E14,'rank lookup'!$A$1:$A$21,'rank lookup'!$B$1:$B$21,,0)</f>
        <v>5</v>
      </c>
      <c r="G14" s="1"/>
      <c r="H14" s="19">
        <v>182</v>
      </c>
      <c r="I14" s="19">
        <v>165</v>
      </c>
      <c r="J14" s="5">
        <f t="shared" si="0"/>
        <v>49.812824538099264</v>
      </c>
      <c r="K14" s="4">
        <f t="shared" si="1"/>
        <v>71.653543307086608</v>
      </c>
      <c r="L14">
        <f t="shared" si="2"/>
        <v>5</v>
      </c>
      <c r="M14">
        <f t="shared" si="3"/>
        <v>11.7</v>
      </c>
      <c r="N14" t="str">
        <f t="shared" si="4"/>
        <v>5' 11.7"</v>
      </c>
      <c r="O14">
        <f t="shared" si="5"/>
        <v>364</v>
      </c>
      <c r="P14">
        <f t="shared" si="6"/>
        <v>31</v>
      </c>
      <c r="Q14">
        <f t="shared" si="6"/>
        <v>16</v>
      </c>
      <c r="R14">
        <f t="shared" si="6"/>
        <v>12</v>
      </c>
      <c r="S14">
        <f>_xlfn.XLOOKUP(A14,'November 2022 Data'!$A$4:$A$48,'November 2022 Data'!$H$4:$H$48,,0)</f>
        <v>161</v>
      </c>
      <c r="T14">
        <f t="shared" si="7"/>
        <v>4</v>
      </c>
      <c r="V14">
        <v>7</v>
      </c>
      <c r="W14">
        <f t="shared" si="8"/>
        <v>1</v>
      </c>
    </row>
    <row r="15" spans="1:23">
      <c r="A15" s="1" t="s">
        <v>124</v>
      </c>
      <c r="B15" s="1"/>
      <c r="C15" s="1" t="s">
        <v>132</v>
      </c>
      <c r="D15" s="1" t="s">
        <v>42</v>
      </c>
      <c r="E15" s="1" t="s">
        <v>132</v>
      </c>
      <c r="F15" s="1">
        <f>_xlfn.XLOOKUP(E15,'rank lookup'!$A$1:$A$21,'rank lookup'!$B$1:$B$21,,0)</f>
        <v>5</v>
      </c>
      <c r="G15" s="1"/>
      <c r="H15" s="19">
        <v>174</v>
      </c>
      <c r="I15" s="19">
        <v>130</v>
      </c>
      <c r="J15" s="5">
        <f t="shared" si="0"/>
        <v>42.938300964460304</v>
      </c>
      <c r="K15" s="4">
        <f t="shared" si="1"/>
        <v>68.503937007874015</v>
      </c>
      <c r="L15">
        <f t="shared" si="2"/>
        <v>5</v>
      </c>
      <c r="M15">
        <f t="shared" si="3"/>
        <v>8.5</v>
      </c>
      <c r="N15" t="str">
        <f t="shared" si="4"/>
        <v>5' 8.5"</v>
      </c>
      <c r="O15">
        <f t="shared" si="5"/>
        <v>287</v>
      </c>
      <c r="P15">
        <f t="shared" si="6"/>
        <v>41</v>
      </c>
      <c r="Q15">
        <f t="shared" si="6"/>
        <v>40</v>
      </c>
      <c r="R15">
        <f t="shared" si="6"/>
        <v>33</v>
      </c>
      <c r="S15">
        <f>_xlfn.XLOOKUP(A15,'November 2022 Data'!$A$4:$A$48,'November 2022 Data'!$H$4:$H$48,,0)</f>
        <v>133</v>
      </c>
      <c r="T15">
        <f t="shared" si="7"/>
        <v>-3</v>
      </c>
      <c r="V15">
        <v>8</v>
      </c>
      <c r="W15">
        <f t="shared" si="8"/>
        <v>1</v>
      </c>
    </row>
    <row r="16" spans="1:23">
      <c r="A16" s="1" t="s">
        <v>116</v>
      </c>
      <c r="B16" s="1">
        <v>2</v>
      </c>
      <c r="C16" s="1" t="s">
        <v>39</v>
      </c>
      <c r="D16" s="1" t="s">
        <v>31</v>
      </c>
      <c r="E16" s="1" t="s">
        <v>136</v>
      </c>
      <c r="F16" s="1">
        <f>_xlfn.XLOOKUP(E16,'rank lookup'!$A$1:$A$21,'rank lookup'!$B$1:$B$21,,0)</f>
        <v>6</v>
      </c>
      <c r="G16" s="1"/>
      <c r="H16" s="19">
        <v>179</v>
      </c>
      <c r="I16" s="19">
        <v>174</v>
      </c>
      <c r="J16" s="5">
        <f t="shared" si="0"/>
        <v>54.305421179114262</v>
      </c>
      <c r="K16" s="4">
        <f t="shared" si="1"/>
        <v>70.472440944881896</v>
      </c>
      <c r="L16">
        <f t="shared" si="2"/>
        <v>5</v>
      </c>
      <c r="M16">
        <f t="shared" si="3"/>
        <v>10.5</v>
      </c>
      <c r="N16" t="str">
        <f t="shared" si="4"/>
        <v>5' 10.5"</v>
      </c>
      <c r="O16">
        <f t="shared" si="5"/>
        <v>384</v>
      </c>
      <c r="P16">
        <f t="shared" si="6"/>
        <v>34</v>
      </c>
      <c r="Q16">
        <f t="shared" si="6"/>
        <v>10</v>
      </c>
      <c r="R16">
        <f t="shared" si="6"/>
        <v>4</v>
      </c>
      <c r="S16">
        <f>_xlfn.XLOOKUP(A16,'November 2022 Data'!$A$4:$A$48,'November 2022 Data'!$H$4:$H$48,,0)</f>
        <v>171</v>
      </c>
      <c r="T16">
        <f t="shared" si="7"/>
        <v>3</v>
      </c>
      <c r="V16">
        <v>9</v>
      </c>
      <c r="W16">
        <f t="shared" si="8"/>
        <v>1</v>
      </c>
    </row>
    <row r="17" spans="1:23">
      <c r="A17" s="1" t="s">
        <v>92</v>
      </c>
      <c r="B17" s="1">
        <v>2</v>
      </c>
      <c r="C17" s="1" t="s">
        <v>137</v>
      </c>
      <c r="D17" s="1" t="s">
        <v>42</v>
      </c>
      <c r="E17" s="1" t="s">
        <v>136</v>
      </c>
      <c r="F17" s="1">
        <f>_xlfn.XLOOKUP(E17,'rank lookup'!$A$1:$A$21,'rank lookup'!$B$1:$B$21,,0)</f>
        <v>6</v>
      </c>
      <c r="G17" s="1"/>
      <c r="H17" s="19">
        <v>189</v>
      </c>
      <c r="I17" s="19">
        <v>174</v>
      </c>
      <c r="J17" s="5">
        <f t="shared" si="0"/>
        <v>48.710842361636011</v>
      </c>
      <c r="K17" s="4">
        <f t="shared" si="1"/>
        <v>74.409448818897644</v>
      </c>
      <c r="L17">
        <f t="shared" si="2"/>
        <v>6</v>
      </c>
      <c r="M17">
        <f t="shared" si="3"/>
        <v>2.4</v>
      </c>
      <c r="N17" t="str">
        <f t="shared" si="4"/>
        <v>6' 2.4"</v>
      </c>
      <c r="O17">
        <f t="shared" si="5"/>
        <v>384</v>
      </c>
      <c r="P17">
        <f t="shared" si="6"/>
        <v>8</v>
      </c>
      <c r="Q17">
        <f t="shared" si="6"/>
        <v>10</v>
      </c>
      <c r="R17">
        <f t="shared" si="6"/>
        <v>18</v>
      </c>
      <c r="S17">
        <f>_xlfn.XLOOKUP(A17,'November 2022 Data'!$A$4:$A$48,'November 2022 Data'!$H$4:$H$48,,0)</f>
        <v>174</v>
      </c>
      <c r="T17">
        <f t="shared" si="7"/>
        <v>0</v>
      </c>
      <c r="V17">
        <v>10</v>
      </c>
      <c r="W17">
        <f t="shared" si="8"/>
        <v>0</v>
      </c>
    </row>
    <row r="18" spans="1:23">
      <c r="A18" s="1" t="s">
        <v>133</v>
      </c>
      <c r="C18" t="s">
        <v>132</v>
      </c>
      <c r="D18" s="1" t="s">
        <v>137</v>
      </c>
      <c r="E18" s="1" t="s">
        <v>137</v>
      </c>
      <c r="F18" s="1">
        <f>_xlfn.XLOOKUP(E18,'rank lookup'!$A$1:$A$21,'rank lookup'!$B$1:$B$21,,0)</f>
        <v>7</v>
      </c>
      <c r="G18" s="1"/>
      <c r="H18" s="19">
        <v>171</v>
      </c>
      <c r="I18" s="19">
        <v>117</v>
      </c>
      <c r="J18" s="5">
        <f t="shared" si="0"/>
        <v>40.012311480455523</v>
      </c>
      <c r="K18" s="4">
        <f t="shared" si="1"/>
        <v>67.322834645669289</v>
      </c>
      <c r="L18">
        <f t="shared" si="2"/>
        <v>5</v>
      </c>
      <c r="M18">
        <f t="shared" si="3"/>
        <v>7.3</v>
      </c>
      <c r="N18" t="str">
        <f t="shared" si="4"/>
        <v>5' 7.3"</v>
      </c>
      <c r="O18">
        <f t="shared" si="5"/>
        <v>258</v>
      </c>
      <c r="P18">
        <f t="shared" si="6"/>
        <v>42</v>
      </c>
      <c r="Q18">
        <f t="shared" si="6"/>
        <v>42</v>
      </c>
      <c r="R18">
        <f t="shared" si="6"/>
        <v>42</v>
      </c>
      <c r="S18">
        <f>_xlfn.XLOOKUP(A18,'November 2022 Data'!$A$4:$A$48,'November 2022 Data'!$H$4:$H$48,,0)</f>
        <v>114</v>
      </c>
      <c r="T18">
        <f t="shared" si="7"/>
        <v>3</v>
      </c>
      <c r="V18">
        <v>11</v>
      </c>
      <c r="W18">
        <f t="shared" si="8"/>
        <v>1</v>
      </c>
    </row>
    <row r="19" spans="1:23">
      <c r="A19" s="1" t="s">
        <v>93</v>
      </c>
      <c r="B19" s="1">
        <v>1</v>
      </c>
      <c r="C19" s="1" t="s">
        <v>42</v>
      </c>
      <c r="D19" s="1" t="s">
        <v>143</v>
      </c>
      <c r="E19" s="1" t="s">
        <v>137</v>
      </c>
      <c r="F19" s="1">
        <f>_xlfn.XLOOKUP(E19,'rank lookup'!$A$1:$A$21,'rank lookup'!$B$1:$B$21,,0)</f>
        <v>7</v>
      </c>
      <c r="G19" s="1"/>
      <c r="H19" s="19">
        <v>187</v>
      </c>
      <c r="I19" s="19">
        <v>159</v>
      </c>
      <c r="J19" s="5">
        <f t="shared" si="0"/>
        <v>45.468843833109325</v>
      </c>
      <c r="K19" s="4">
        <f t="shared" si="1"/>
        <v>73.622047244094489</v>
      </c>
      <c r="L19">
        <f t="shared" si="2"/>
        <v>6</v>
      </c>
      <c r="M19">
        <f t="shared" si="3"/>
        <v>1.6</v>
      </c>
      <c r="N19" t="str">
        <f t="shared" si="4"/>
        <v>6' 1.6"</v>
      </c>
      <c r="O19">
        <f t="shared" si="5"/>
        <v>351</v>
      </c>
      <c r="P19">
        <f t="shared" si="6"/>
        <v>14</v>
      </c>
      <c r="Q19">
        <f t="shared" si="6"/>
        <v>24</v>
      </c>
      <c r="R19">
        <f t="shared" si="6"/>
        <v>25</v>
      </c>
      <c r="S19">
        <f>_xlfn.XLOOKUP(A19,'November 2022 Data'!$A$4:$A$48,'November 2022 Data'!$H$4:$H$48,,0)</f>
        <v>151</v>
      </c>
      <c r="T19">
        <f t="shared" si="7"/>
        <v>8</v>
      </c>
      <c r="V19">
        <v>12</v>
      </c>
      <c r="W19">
        <f t="shared" si="8"/>
        <v>0</v>
      </c>
    </row>
    <row r="20" spans="1:23">
      <c r="A20" s="1" t="s">
        <v>111</v>
      </c>
      <c r="B20" s="1"/>
      <c r="C20" s="1" t="s">
        <v>140</v>
      </c>
      <c r="D20" s="1" t="s">
        <v>139</v>
      </c>
      <c r="E20" s="1" t="s">
        <v>139</v>
      </c>
      <c r="F20" s="1">
        <f>_xlfn.XLOOKUP(E20,'rank lookup'!$A$1:$A$21,'rank lookup'!$B$1:$B$21,,0)</f>
        <v>8</v>
      </c>
      <c r="G20" s="1"/>
      <c r="H20" s="19">
        <v>182</v>
      </c>
      <c r="I20" s="19">
        <v>144</v>
      </c>
      <c r="J20" s="5">
        <f t="shared" si="0"/>
        <v>43.473010505977541</v>
      </c>
      <c r="K20" s="4">
        <f t="shared" si="1"/>
        <v>71.653543307086608</v>
      </c>
      <c r="L20">
        <f t="shared" si="2"/>
        <v>5</v>
      </c>
      <c r="M20">
        <f t="shared" si="3"/>
        <v>11.7</v>
      </c>
      <c r="N20" t="str">
        <f t="shared" si="4"/>
        <v>5' 11.7"</v>
      </c>
      <c r="O20">
        <f t="shared" si="5"/>
        <v>317</v>
      </c>
      <c r="P20">
        <f t="shared" si="6"/>
        <v>31</v>
      </c>
      <c r="Q20">
        <f t="shared" si="6"/>
        <v>35</v>
      </c>
      <c r="R20">
        <f t="shared" si="6"/>
        <v>32</v>
      </c>
      <c r="S20">
        <f>_xlfn.XLOOKUP(A20,'November 2022 Data'!$A$4:$A$48,'November 2022 Data'!$H$4:$H$48,,0)</f>
        <v>141</v>
      </c>
      <c r="T20">
        <f t="shared" si="7"/>
        <v>3</v>
      </c>
      <c r="V20">
        <v>13</v>
      </c>
      <c r="W20">
        <f t="shared" si="8"/>
        <v>0</v>
      </c>
    </row>
    <row r="21" spans="1:23">
      <c r="A21" t="s">
        <v>144</v>
      </c>
      <c r="C21" s="1" t="s">
        <v>145</v>
      </c>
      <c r="D21" s="1" t="s">
        <v>140</v>
      </c>
      <c r="E21" s="1" t="s">
        <v>139</v>
      </c>
      <c r="F21" s="1">
        <f>_xlfn.XLOOKUP(E21,'rank lookup'!$A$1:$A$21,'rank lookup'!$B$1:$B$21,,0)</f>
        <v>8</v>
      </c>
      <c r="G21" s="1"/>
      <c r="H21" s="19">
        <v>184</v>
      </c>
      <c r="I21" s="19">
        <v>155</v>
      </c>
      <c r="J21" s="5">
        <f t="shared" si="0"/>
        <v>45.782136105860118</v>
      </c>
      <c r="K21" s="4">
        <f t="shared" si="1"/>
        <v>72.440944881889763</v>
      </c>
      <c r="L21">
        <f t="shared" si="2"/>
        <v>6</v>
      </c>
      <c r="M21">
        <f t="shared" si="3"/>
        <v>0.4</v>
      </c>
      <c r="N21" t="str">
        <f t="shared" si="4"/>
        <v>6' 0.4"</v>
      </c>
      <c r="O21">
        <f t="shared" si="5"/>
        <v>342</v>
      </c>
      <c r="P21">
        <f t="shared" si="6"/>
        <v>22</v>
      </c>
      <c r="Q21">
        <f t="shared" si="6"/>
        <v>29</v>
      </c>
      <c r="R21">
        <f t="shared" si="6"/>
        <v>23</v>
      </c>
      <c r="S21">
        <f>_xlfn.XLOOKUP(A21,'November 2022 Data'!$A$4:$A$48,'November 2022 Data'!$H$4:$H$48,,0)</f>
        <v>148</v>
      </c>
      <c r="T21">
        <f t="shared" si="7"/>
        <v>7</v>
      </c>
      <c r="V21">
        <v>14</v>
      </c>
      <c r="W21">
        <f t="shared" si="8"/>
        <v>0</v>
      </c>
    </row>
    <row r="22" spans="1:23">
      <c r="A22" s="1" t="s">
        <v>138</v>
      </c>
      <c r="C22" s="1" t="s">
        <v>139</v>
      </c>
      <c r="D22" s="1" t="s">
        <v>141</v>
      </c>
      <c r="E22" s="1" t="s">
        <v>140</v>
      </c>
      <c r="F22" s="1">
        <f>_xlfn.XLOOKUP(E22,'rank lookup'!$A$1:$A$21,'rank lookup'!$B$1:$B$21,,0)</f>
        <v>9</v>
      </c>
      <c r="G22" s="1"/>
      <c r="H22" s="19">
        <v>184</v>
      </c>
      <c r="I22" s="19">
        <v>179</v>
      </c>
      <c r="J22" s="5">
        <f t="shared" si="0"/>
        <v>52.870982986767487</v>
      </c>
      <c r="K22" s="4">
        <f t="shared" si="1"/>
        <v>72.440944881889763</v>
      </c>
      <c r="L22">
        <f t="shared" si="2"/>
        <v>6</v>
      </c>
      <c r="M22">
        <f t="shared" si="3"/>
        <v>0.4</v>
      </c>
      <c r="N22" t="str">
        <f t="shared" si="4"/>
        <v>6' 0.4"</v>
      </c>
      <c r="O22">
        <f t="shared" si="5"/>
        <v>395</v>
      </c>
      <c r="P22">
        <f t="shared" si="6"/>
        <v>22</v>
      </c>
      <c r="Q22">
        <f t="shared" si="6"/>
        <v>8</v>
      </c>
      <c r="R22">
        <f t="shared" si="6"/>
        <v>7</v>
      </c>
      <c r="S22">
        <f>_xlfn.XLOOKUP(A22,'November 2022 Data'!$A$4:$A$48,'November 2022 Data'!$H$4:$H$48,,0)</f>
        <v>170</v>
      </c>
      <c r="T22">
        <f t="shared" si="7"/>
        <v>9</v>
      </c>
      <c r="V22">
        <v>15</v>
      </c>
      <c r="W22">
        <f t="shared" si="8"/>
        <v>0</v>
      </c>
    </row>
    <row r="23" spans="1:23">
      <c r="A23" t="s">
        <v>149</v>
      </c>
      <c r="C23" s="1" t="s">
        <v>148</v>
      </c>
      <c r="D23" s="1" t="s">
        <v>141</v>
      </c>
      <c r="E23" s="1" t="s">
        <v>140</v>
      </c>
      <c r="F23" s="1">
        <f>_xlfn.XLOOKUP(E23,'rank lookup'!$A$1:$A$21,'rank lookup'!$B$1:$B$21,,0)</f>
        <v>9</v>
      </c>
      <c r="G23" s="1"/>
      <c r="H23" s="20">
        <v>187</v>
      </c>
      <c r="I23" s="19">
        <v>157</v>
      </c>
      <c r="J23" s="5">
        <f t="shared" si="0"/>
        <v>44.89690869055449</v>
      </c>
      <c r="K23" s="4">
        <f t="shared" si="1"/>
        <v>73.622047244094489</v>
      </c>
      <c r="L23">
        <f t="shared" si="2"/>
        <v>6</v>
      </c>
      <c r="M23">
        <f t="shared" si="3"/>
        <v>1.6</v>
      </c>
      <c r="N23" t="str">
        <f t="shared" si="4"/>
        <v>6' 1.6"</v>
      </c>
      <c r="O23">
        <f t="shared" si="5"/>
        <v>346</v>
      </c>
      <c r="P23">
        <f t="shared" si="6"/>
        <v>14</v>
      </c>
      <c r="Q23">
        <f t="shared" si="6"/>
        <v>26</v>
      </c>
      <c r="R23">
        <f t="shared" si="6"/>
        <v>27</v>
      </c>
      <c r="S23">
        <f>_xlfn.XLOOKUP(A23,'November 2022 Data'!$A$4:$A$48,'November 2022 Data'!$H$4:$H$48,,0)</f>
        <v>154</v>
      </c>
      <c r="T23">
        <f t="shared" si="7"/>
        <v>3</v>
      </c>
      <c r="V23">
        <v>16</v>
      </c>
      <c r="W23">
        <f t="shared" si="8"/>
        <v>0</v>
      </c>
    </row>
    <row r="24" spans="1:23">
      <c r="A24" s="1" t="s">
        <v>103</v>
      </c>
      <c r="B24" s="1"/>
      <c r="C24" s="1" t="s">
        <v>142</v>
      </c>
      <c r="D24" s="1" t="s">
        <v>140</v>
      </c>
      <c r="E24" s="1" t="s">
        <v>141</v>
      </c>
      <c r="F24" s="1">
        <f>_xlfn.XLOOKUP(E24,'rank lookup'!$A$1:$A$21,'rank lookup'!$B$1:$B$21,,0)</f>
        <v>10</v>
      </c>
      <c r="G24" s="1"/>
      <c r="H24" s="19">
        <v>184</v>
      </c>
      <c r="I24" s="19">
        <v>163</v>
      </c>
      <c r="J24" s="5">
        <f t="shared" si="0"/>
        <v>48.145085066162572</v>
      </c>
      <c r="K24" s="4">
        <f t="shared" si="1"/>
        <v>72.440944881889763</v>
      </c>
      <c r="L24">
        <f t="shared" si="2"/>
        <v>6</v>
      </c>
      <c r="M24">
        <f t="shared" si="3"/>
        <v>0.4</v>
      </c>
      <c r="N24" t="str">
        <f t="shared" si="4"/>
        <v>6' 0.4"</v>
      </c>
      <c r="O24">
        <f t="shared" si="5"/>
        <v>359</v>
      </c>
      <c r="P24">
        <f t="shared" si="6"/>
        <v>22</v>
      </c>
      <c r="Q24">
        <f t="shared" si="6"/>
        <v>19</v>
      </c>
      <c r="R24">
        <f t="shared" si="6"/>
        <v>22</v>
      </c>
      <c r="S24">
        <f>_xlfn.XLOOKUP(A24,'November 2022 Data'!$A$4:$A$48,'November 2022 Data'!$H$4:$H$48,,0)</f>
        <v>161</v>
      </c>
      <c r="T24">
        <f t="shared" si="7"/>
        <v>2</v>
      </c>
    </row>
    <row r="25" spans="1:23">
      <c r="A25" s="1" t="s">
        <v>97</v>
      </c>
      <c r="B25" s="1"/>
      <c r="C25" s="1" t="s">
        <v>143</v>
      </c>
      <c r="D25" s="1" t="s">
        <v>135</v>
      </c>
      <c r="E25" s="1" t="s">
        <v>141</v>
      </c>
      <c r="F25" s="1">
        <f>_xlfn.XLOOKUP(E25,'rank lookup'!$A$1:$A$21,'rank lookup'!$B$1:$B$21,,0)</f>
        <v>10</v>
      </c>
      <c r="G25" s="1"/>
      <c r="H25" s="19">
        <v>189</v>
      </c>
      <c r="I25" s="19">
        <v>157</v>
      </c>
      <c r="J25" s="5">
        <f t="shared" si="0"/>
        <v>43.951737073430195</v>
      </c>
      <c r="K25" s="4">
        <f t="shared" si="1"/>
        <v>74.409448818897644</v>
      </c>
      <c r="L25">
        <f t="shared" si="2"/>
        <v>6</v>
      </c>
      <c r="M25">
        <f t="shared" si="3"/>
        <v>2.4</v>
      </c>
      <c r="N25" t="str">
        <f t="shared" si="4"/>
        <v>6' 2.4"</v>
      </c>
      <c r="O25">
        <f t="shared" si="5"/>
        <v>346</v>
      </c>
      <c r="P25">
        <f t="shared" si="6"/>
        <v>8</v>
      </c>
      <c r="Q25">
        <f t="shared" si="6"/>
        <v>26</v>
      </c>
      <c r="R25">
        <f t="shared" si="6"/>
        <v>30</v>
      </c>
      <c r="S25">
        <f>_xlfn.XLOOKUP(A25,'November 2022 Data'!$A$4:$A$48,'November 2022 Data'!$H$4:$H$48,,0)</f>
        <v>154</v>
      </c>
      <c r="T25">
        <f t="shared" si="7"/>
        <v>3</v>
      </c>
    </row>
    <row r="26" spans="1:23">
      <c r="A26" s="1" t="s">
        <v>89</v>
      </c>
      <c r="B26" s="1">
        <v>1</v>
      </c>
      <c r="C26" s="1" t="s">
        <v>42</v>
      </c>
      <c r="D26" s="1" t="s">
        <v>136</v>
      </c>
      <c r="E26" s="1" t="s">
        <v>135</v>
      </c>
      <c r="F26" s="1">
        <f>_xlfn.XLOOKUP(E26,'rank lookup'!$A$1:$A$21,'rank lookup'!$B$1:$B$21,,0)</f>
        <v>11</v>
      </c>
      <c r="G26" s="1"/>
      <c r="H26" s="19">
        <v>190</v>
      </c>
      <c r="I26" s="19">
        <v>212</v>
      </c>
      <c r="J26" s="5">
        <f t="shared" si="0"/>
        <v>58.725761772853183</v>
      </c>
      <c r="K26" s="4">
        <f t="shared" si="1"/>
        <v>74.803149606299215</v>
      </c>
      <c r="L26">
        <f t="shared" si="2"/>
        <v>6</v>
      </c>
      <c r="M26">
        <f t="shared" si="3"/>
        <v>2.8</v>
      </c>
      <c r="N26" t="str">
        <f t="shared" si="4"/>
        <v>6' 2.8"</v>
      </c>
      <c r="O26">
        <f t="shared" si="5"/>
        <v>467</v>
      </c>
      <c r="P26">
        <f t="shared" si="6"/>
        <v>5</v>
      </c>
      <c r="Q26">
        <f t="shared" si="6"/>
        <v>1</v>
      </c>
      <c r="R26">
        <f t="shared" si="6"/>
        <v>2</v>
      </c>
      <c r="S26">
        <f>_xlfn.XLOOKUP(A26,'November 2022 Data'!$A$4:$A$48,'November 2022 Data'!$H$4:$H$48,,0)</f>
        <v>212</v>
      </c>
      <c r="T26">
        <f t="shared" si="7"/>
        <v>0</v>
      </c>
    </row>
    <row r="27" spans="1:23">
      <c r="A27" s="1" t="s">
        <v>121</v>
      </c>
      <c r="B27" s="1"/>
      <c r="C27" s="1" t="s">
        <v>137</v>
      </c>
      <c r="D27" s="1" t="s">
        <v>137</v>
      </c>
      <c r="E27" s="1" t="s">
        <v>135</v>
      </c>
      <c r="F27" s="1">
        <f>_xlfn.XLOOKUP(E27,'rank lookup'!$A$1:$A$21,'rank lookup'!$B$1:$B$21,,0)</f>
        <v>11</v>
      </c>
      <c r="G27" s="1"/>
      <c r="H27" s="19">
        <v>175</v>
      </c>
      <c r="I27" s="19">
        <v>148</v>
      </c>
      <c r="J27" s="5">
        <f t="shared" si="0"/>
        <v>48.326530612244902</v>
      </c>
      <c r="K27" s="4">
        <f t="shared" si="1"/>
        <v>68.897637795275585</v>
      </c>
      <c r="L27">
        <f t="shared" si="2"/>
        <v>5</v>
      </c>
      <c r="M27">
        <f t="shared" si="3"/>
        <v>8.9</v>
      </c>
      <c r="N27" t="str">
        <f t="shared" si="4"/>
        <v>5' 8.9"</v>
      </c>
      <c r="O27">
        <f t="shared" si="5"/>
        <v>326</v>
      </c>
      <c r="P27">
        <f t="shared" si="6"/>
        <v>39</v>
      </c>
      <c r="Q27">
        <f t="shared" si="6"/>
        <v>31</v>
      </c>
      <c r="R27">
        <f t="shared" si="6"/>
        <v>20</v>
      </c>
      <c r="S27">
        <f>_xlfn.XLOOKUP(A27,'November 2022 Data'!$A$4:$A$48,'November 2022 Data'!$H$4:$H$48,,0)</f>
        <v>151</v>
      </c>
      <c r="T27">
        <f t="shared" si="7"/>
        <v>-3</v>
      </c>
    </row>
    <row r="28" spans="1:23">
      <c r="A28" s="1" t="s">
        <v>120</v>
      </c>
      <c r="B28" s="1"/>
      <c r="C28" s="1" t="s">
        <v>135</v>
      </c>
      <c r="D28" s="1" t="s">
        <v>147</v>
      </c>
      <c r="E28" s="1" t="s">
        <v>142</v>
      </c>
      <c r="F28" s="1">
        <f>_xlfn.XLOOKUP(E28,'rank lookup'!$A$1:$A$21,'rank lookup'!$B$1:$B$21,,0)</f>
        <v>12</v>
      </c>
      <c r="G28" s="1"/>
      <c r="H28" s="19">
        <v>178</v>
      </c>
      <c r="I28" s="19">
        <v>165</v>
      </c>
      <c r="J28" s="5">
        <f t="shared" si="0"/>
        <v>52.076757985102894</v>
      </c>
      <c r="K28" s="4">
        <f t="shared" si="1"/>
        <v>70.078740157480311</v>
      </c>
      <c r="L28">
        <f t="shared" si="2"/>
        <v>5</v>
      </c>
      <c r="M28">
        <f t="shared" si="3"/>
        <v>10.1</v>
      </c>
      <c r="N28" t="str">
        <f t="shared" si="4"/>
        <v>5' 10.1"</v>
      </c>
      <c r="O28">
        <f t="shared" si="5"/>
        <v>364</v>
      </c>
      <c r="P28">
        <f t="shared" si="6"/>
        <v>35</v>
      </c>
      <c r="Q28">
        <f t="shared" si="6"/>
        <v>16</v>
      </c>
      <c r="R28">
        <f t="shared" si="6"/>
        <v>9</v>
      </c>
      <c r="S28">
        <f>_xlfn.XLOOKUP(A28,'November 2022 Data'!$A$4:$A$48,'November 2022 Data'!$H$4:$H$48,,0)</f>
        <v>162</v>
      </c>
      <c r="T28">
        <f t="shared" si="7"/>
        <v>3</v>
      </c>
    </row>
    <row r="29" spans="1:23">
      <c r="A29" s="1" t="s">
        <v>88</v>
      </c>
      <c r="B29" s="1"/>
      <c r="C29" s="1" t="s">
        <v>150</v>
      </c>
      <c r="D29" s="1" t="s">
        <v>150</v>
      </c>
      <c r="E29" s="1" t="s">
        <v>142</v>
      </c>
      <c r="F29" s="1">
        <f>_xlfn.XLOOKUP(E29,'rank lookup'!$A$1:$A$21,'rank lookup'!$B$1:$B$21,,0)</f>
        <v>12</v>
      </c>
      <c r="G29" s="1"/>
      <c r="H29" s="19">
        <v>189</v>
      </c>
      <c r="I29" s="19">
        <v>179</v>
      </c>
      <c r="J29" s="5">
        <f t="shared" si="0"/>
        <v>50.110579211108309</v>
      </c>
      <c r="K29" s="4">
        <f t="shared" si="1"/>
        <v>74.409448818897644</v>
      </c>
      <c r="L29">
        <f t="shared" si="2"/>
        <v>6</v>
      </c>
      <c r="M29">
        <f t="shared" si="3"/>
        <v>2.4</v>
      </c>
      <c r="N29" t="str">
        <f t="shared" si="4"/>
        <v>6' 2.4"</v>
      </c>
      <c r="O29">
        <f t="shared" si="5"/>
        <v>395</v>
      </c>
      <c r="P29">
        <f t="shared" si="6"/>
        <v>8</v>
      </c>
      <c r="Q29">
        <f t="shared" si="6"/>
        <v>8</v>
      </c>
      <c r="R29">
        <f t="shared" si="6"/>
        <v>11</v>
      </c>
      <c r="S29">
        <f>_xlfn.XLOOKUP(A29,'November 2022 Data'!$A$4:$A$48,'November 2022 Data'!$H$4:$H$48,,0)</f>
        <v>176</v>
      </c>
      <c r="T29">
        <f t="shared" si="7"/>
        <v>3</v>
      </c>
    </row>
    <row r="30" spans="1:23">
      <c r="A30" s="1" t="s">
        <v>99</v>
      </c>
      <c r="B30" s="1"/>
      <c r="C30" s="1" t="s">
        <v>141</v>
      </c>
      <c r="D30" s="1" t="s">
        <v>135</v>
      </c>
      <c r="E30" s="1" t="s">
        <v>143</v>
      </c>
      <c r="F30" s="1">
        <f>_xlfn.XLOOKUP(E30,'rank lookup'!$A$1:$A$21,'rank lookup'!$B$1:$B$21,,0)</f>
        <v>13</v>
      </c>
      <c r="G30" s="1"/>
      <c r="H30" s="19">
        <v>183</v>
      </c>
      <c r="I30" s="19">
        <v>150</v>
      </c>
      <c r="J30" s="5">
        <f t="shared" si="0"/>
        <v>44.790826838663442</v>
      </c>
      <c r="K30" s="4">
        <f t="shared" si="1"/>
        <v>72.047244094488192</v>
      </c>
      <c r="L30">
        <f t="shared" si="2"/>
        <v>6</v>
      </c>
      <c r="M30">
        <f t="shared" si="3"/>
        <v>0</v>
      </c>
      <c r="N30" t="str">
        <f t="shared" si="4"/>
        <v>6' 0"</v>
      </c>
      <c r="O30">
        <f t="shared" si="5"/>
        <v>331</v>
      </c>
      <c r="P30">
        <f t="shared" si="6"/>
        <v>27</v>
      </c>
      <c r="Q30">
        <f t="shared" si="6"/>
        <v>30</v>
      </c>
      <c r="R30">
        <f t="shared" si="6"/>
        <v>28</v>
      </c>
      <c r="S30">
        <f>_xlfn.XLOOKUP(A30,'November 2022 Data'!$A$4:$A$48,'November 2022 Data'!$H$4:$H$48,,0)</f>
        <v>149</v>
      </c>
      <c r="T30">
        <f t="shared" si="7"/>
        <v>1</v>
      </c>
    </row>
    <row r="31" spans="1:23">
      <c r="A31" s="1" t="s">
        <v>101</v>
      </c>
      <c r="B31" s="1"/>
      <c r="C31" s="1" t="s">
        <v>145</v>
      </c>
      <c r="D31" s="1" t="s">
        <v>143</v>
      </c>
      <c r="E31" s="1" t="s">
        <v>143</v>
      </c>
      <c r="F31" s="1">
        <f>_xlfn.XLOOKUP(E31,'rank lookup'!$A$1:$A$21,'rank lookup'!$B$1:$B$21,,0)</f>
        <v>13</v>
      </c>
      <c r="G31" s="1"/>
      <c r="H31" s="19">
        <v>184</v>
      </c>
      <c r="I31" s="19">
        <v>167</v>
      </c>
      <c r="J31" s="5">
        <f t="shared" si="0"/>
        <v>49.326559546313803</v>
      </c>
      <c r="K31" s="4">
        <f t="shared" si="1"/>
        <v>72.440944881889763</v>
      </c>
      <c r="L31">
        <f t="shared" si="2"/>
        <v>6</v>
      </c>
      <c r="M31">
        <f t="shared" si="3"/>
        <v>0.4</v>
      </c>
      <c r="N31" t="str">
        <f t="shared" si="4"/>
        <v>6' 0.4"</v>
      </c>
      <c r="O31">
        <f t="shared" si="5"/>
        <v>368</v>
      </c>
      <c r="P31">
        <f t="shared" si="6"/>
        <v>22</v>
      </c>
      <c r="Q31">
        <f t="shared" si="6"/>
        <v>15</v>
      </c>
      <c r="R31">
        <f t="shared" si="6"/>
        <v>15</v>
      </c>
      <c r="S31">
        <f>_xlfn.XLOOKUP(A31,'November 2022 Data'!$A$4:$A$48,'November 2022 Data'!$H$4:$H$48,,0)</f>
        <v>167</v>
      </c>
      <c r="T31">
        <f t="shared" si="7"/>
        <v>0</v>
      </c>
    </row>
    <row r="32" spans="1:23">
      <c r="A32" s="1" t="s">
        <v>91</v>
      </c>
      <c r="B32" s="1"/>
      <c r="C32" s="1" t="s">
        <v>135</v>
      </c>
      <c r="D32" s="1" t="s">
        <v>145</v>
      </c>
      <c r="E32" s="1" t="s">
        <v>145</v>
      </c>
      <c r="F32" s="1">
        <f>_xlfn.XLOOKUP(E32,'rank lookup'!$A$1:$A$21,'rank lookup'!$B$1:$B$21,,0)</f>
        <v>14</v>
      </c>
      <c r="G32" s="1"/>
      <c r="H32" s="19">
        <v>190</v>
      </c>
      <c r="I32" s="19">
        <v>184</v>
      </c>
      <c r="J32" s="5">
        <f t="shared" si="0"/>
        <v>50.969529085872573</v>
      </c>
      <c r="K32" s="4">
        <f t="shared" si="1"/>
        <v>74.803149606299215</v>
      </c>
      <c r="L32">
        <f t="shared" si="2"/>
        <v>6</v>
      </c>
      <c r="M32">
        <f t="shared" si="3"/>
        <v>2.8</v>
      </c>
      <c r="N32" t="str">
        <f t="shared" si="4"/>
        <v>6' 2.8"</v>
      </c>
      <c r="O32">
        <f t="shared" si="5"/>
        <v>406</v>
      </c>
      <c r="P32">
        <f t="shared" si="6"/>
        <v>5</v>
      </c>
      <c r="Q32">
        <f t="shared" si="6"/>
        <v>4</v>
      </c>
      <c r="R32">
        <f t="shared" si="6"/>
        <v>10</v>
      </c>
      <c r="S32">
        <f>_xlfn.XLOOKUP(A32,'November 2022 Data'!$A$4:$A$48,'November 2022 Data'!$H$4:$H$48,,0)</f>
        <v>186</v>
      </c>
      <c r="T32">
        <f t="shared" si="7"/>
        <v>-2</v>
      </c>
    </row>
    <row r="33" spans="1:20">
      <c r="A33" t="s">
        <v>155</v>
      </c>
      <c r="C33" s="1" t="s">
        <v>154</v>
      </c>
      <c r="D33" s="1" t="s">
        <v>154</v>
      </c>
      <c r="E33" s="1" t="s">
        <v>145</v>
      </c>
      <c r="F33" s="1">
        <f>_xlfn.XLOOKUP(E33,'rank lookup'!$A$1:$A$21,'rank lookup'!$B$1:$B$21,,0)</f>
        <v>14</v>
      </c>
      <c r="G33" s="1"/>
      <c r="H33" s="19">
        <v>178</v>
      </c>
      <c r="I33" s="19">
        <v>138</v>
      </c>
      <c r="J33" s="5">
        <f t="shared" si="0"/>
        <v>43.555106678449697</v>
      </c>
      <c r="K33" s="4">
        <f t="shared" si="1"/>
        <v>70.078740157480311</v>
      </c>
      <c r="L33">
        <f t="shared" si="2"/>
        <v>5</v>
      </c>
      <c r="M33">
        <f t="shared" si="3"/>
        <v>10.1</v>
      </c>
      <c r="N33" t="str">
        <f t="shared" si="4"/>
        <v>5' 10.1"</v>
      </c>
      <c r="O33">
        <f t="shared" si="5"/>
        <v>304</v>
      </c>
      <c r="P33">
        <f t="shared" si="6"/>
        <v>35</v>
      </c>
      <c r="Q33">
        <f t="shared" si="6"/>
        <v>37</v>
      </c>
      <c r="R33">
        <f t="shared" si="6"/>
        <v>31</v>
      </c>
      <c r="S33">
        <f>_xlfn.XLOOKUP(A33,'November 2022 Data'!$A$4:$A$48,'November 2022 Data'!$H$4:$H$48,,0)</f>
        <v>135</v>
      </c>
      <c r="T33">
        <f t="shared" si="7"/>
        <v>3</v>
      </c>
    </row>
    <row r="34" spans="1:20">
      <c r="A34" s="1" t="s">
        <v>87</v>
      </c>
      <c r="B34" s="1">
        <v>1</v>
      </c>
      <c r="C34" s="1" t="s">
        <v>142</v>
      </c>
      <c r="D34" s="1" t="s">
        <v>142</v>
      </c>
      <c r="E34" s="1" t="s">
        <v>147</v>
      </c>
      <c r="F34" s="1">
        <f>_xlfn.XLOOKUP(E34,'rank lookup'!$A$1:$A$21,'rank lookup'!$B$1:$B$21,,0)</f>
        <v>15</v>
      </c>
      <c r="G34" s="1"/>
      <c r="H34" s="19">
        <v>192</v>
      </c>
      <c r="I34" s="19">
        <v>182</v>
      </c>
      <c r="J34" s="5">
        <f t="shared" si="0"/>
        <v>49.370659722222221</v>
      </c>
      <c r="K34" s="4">
        <f t="shared" si="1"/>
        <v>75.59055118110237</v>
      </c>
      <c r="L34">
        <f t="shared" si="2"/>
        <v>6</v>
      </c>
      <c r="M34">
        <f t="shared" si="3"/>
        <v>3.6</v>
      </c>
      <c r="N34" t="str">
        <f t="shared" si="4"/>
        <v>6' 3.6"</v>
      </c>
      <c r="O34">
        <f t="shared" si="5"/>
        <v>401</v>
      </c>
      <c r="P34">
        <f t="shared" si="6"/>
        <v>2</v>
      </c>
      <c r="Q34">
        <f t="shared" si="6"/>
        <v>5</v>
      </c>
      <c r="R34">
        <f t="shared" si="6"/>
        <v>14</v>
      </c>
      <c r="S34">
        <f>_xlfn.XLOOKUP(A34,'November 2022 Data'!$A$4:$A$48,'November 2022 Data'!$H$4:$H$48,,0)</f>
        <v>179</v>
      </c>
      <c r="T34">
        <f t="shared" si="7"/>
        <v>3</v>
      </c>
    </row>
    <row r="35" spans="1:20">
      <c r="A35" s="1" t="s">
        <v>110</v>
      </c>
      <c r="B35" s="1"/>
      <c r="C35" s="1" t="s">
        <v>151</v>
      </c>
      <c r="D35" s="1" t="s">
        <v>145</v>
      </c>
      <c r="E35" s="1" t="s">
        <v>147</v>
      </c>
      <c r="F35" s="1">
        <f>_xlfn.XLOOKUP(E35,'rank lookup'!$A$1:$A$21,'rank lookup'!$B$1:$B$21,,0)</f>
        <v>15</v>
      </c>
      <c r="G35" s="1"/>
      <c r="H35" s="19">
        <v>183</v>
      </c>
      <c r="I35" s="19">
        <v>137</v>
      </c>
      <c r="J35" s="5">
        <f t="shared" si="0"/>
        <v>40.908955179312613</v>
      </c>
      <c r="K35" s="4">
        <f t="shared" si="1"/>
        <v>72.047244094488192</v>
      </c>
      <c r="L35">
        <f t="shared" si="2"/>
        <v>6</v>
      </c>
      <c r="M35">
        <f t="shared" si="3"/>
        <v>0</v>
      </c>
      <c r="N35" t="str">
        <f t="shared" si="4"/>
        <v>6' 0"</v>
      </c>
      <c r="O35">
        <f t="shared" si="5"/>
        <v>302</v>
      </c>
      <c r="P35">
        <f t="shared" si="6"/>
        <v>27</v>
      </c>
      <c r="Q35">
        <f t="shared" si="6"/>
        <v>38</v>
      </c>
      <c r="R35">
        <f t="shared" si="6"/>
        <v>40</v>
      </c>
      <c r="S35">
        <f>_xlfn.XLOOKUP(A35,'November 2022 Data'!$A$4:$A$48,'November 2022 Data'!$H$4:$H$48,,0)</f>
        <v>135</v>
      </c>
      <c r="T35">
        <f t="shared" si="7"/>
        <v>2</v>
      </c>
    </row>
    <row r="36" spans="1:20">
      <c r="A36" s="1" t="s">
        <v>90</v>
      </c>
      <c r="B36" s="1"/>
      <c r="C36" s="1" t="s">
        <v>148</v>
      </c>
      <c r="D36" s="1" t="s">
        <v>150</v>
      </c>
      <c r="E36" s="1" t="s">
        <v>148</v>
      </c>
      <c r="F36" s="1">
        <f>_xlfn.XLOOKUP(E36,'rank lookup'!$A$1:$A$21,'rank lookup'!$B$1:$B$21,,0)</f>
        <v>16</v>
      </c>
      <c r="G36" s="1"/>
      <c r="H36" s="19">
        <v>189</v>
      </c>
      <c r="I36" s="19">
        <v>161</v>
      </c>
      <c r="J36" s="5">
        <f t="shared" si="0"/>
        <v>45.071526553008034</v>
      </c>
      <c r="K36" s="4">
        <f t="shared" si="1"/>
        <v>74.409448818897644</v>
      </c>
      <c r="L36">
        <f t="shared" si="2"/>
        <v>6</v>
      </c>
      <c r="M36">
        <f t="shared" si="3"/>
        <v>2.4</v>
      </c>
      <c r="N36" t="str">
        <f t="shared" si="4"/>
        <v>6' 2.4"</v>
      </c>
      <c r="O36">
        <f t="shared" si="5"/>
        <v>355</v>
      </c>
      <c r="P36">
        <f t="shared" si="6"/>
        <v>8</v>
      </c>
      <c r="Q36">
        <f t="shared" si="6"/>
        <v>23</v>
      </c>
      <c r="R36">
        <f t="shared" si="6"/>
        <v>26</v>
      </c>
      <c r="S36">
        <f>_xlfn.XLOOKUP(A36,'November 2022 Data'!$A$4:$A$48,'November 2022 Data'!$H$4:$H$48,,0)</f>
        <v>156</v>
      </c>
      <c r="T36">
        <f t="shared" si="7"/>
        <v>5</v>
      </c>
    </row>
    <row r="37" spans="1:20">
      <c r="A37" s="1" t="s">
        <v>167</v>
      </c>
      <c r="D37" t="s">
        <v>152</v>
      </c>
      <c r="E37" t="s">
        <v>148</v>
      </c>
      <c r="F37" s="1">
        <f>_xlfn.XLOOKUP(E37,'rank lookup'!$A$1:$A$21,'rank lookup'!$B$1:$B$21,,0)</f>
        <v>16</v>
      </c>
      <c r="H37" s="19">
        <v>193</v>
      </c>
      <c r="I37" s="19">
        <v>156</v>
      </c>
      <c r="J37" s="5">
        <f t="shared" si="0"/>
        <v>41.880318934736501</v>
      </c>
      <c r="K37" s="4">
        <f t="shared" si="1"/>
        <v>75.984251968503941</v>
      </c>
      <c r="L37">
        <f t="shared" si="2"/>
        <v>6</v>
      </c>
      <c r="M37">
        <f t="shared" si="3"/>
        <v>4</v>
      </c>
      <c r="N37" t="str">
        <f t="shared" si="4"/>
        <v>6' 4"</v>
      </c>
      <c r="O37">
        <f t="shared" si="5"/>
        <v>344</v>
      </c>
      <c r="P37">
        <f t="shared" si="6"/>
        <v>1</v>
      </c>
      <c r="Q37">
        <f t="shared" si="6"/>
        <v>28</v>
      </c>
      <c r="R37">
        <f t="shared" si="6"/>
        <v>36</v>
      </c>
      <c r="S37">
        <f>_xlfn.XLOOKUP(A37,'November 2022 Data'!$A$4:$A$48,'November 2022 Data'!$H$4:$H$48,,0)</f>
        <v>155</v>
      </c>
      <c r="T37">
        <f t="shared" si="7"/>
        <v>1</v>
      </c>
    </row>
    <row r="38" spans="1:20">
      <c r="A38" t="s">
        <v>146</v>
      </c>
      <c r="C38" s="1" t="s">
        <v>147</v>
      </c>
      <c r="D38" s="1" t="s">
        <v>147</v>
      </c>
      <c r="E38" s="1" t="s">
        <v>150</v>
      </c>
      <c r="F38" s="1">
        <f>_xlfn.XLOOKUP(E38,'rank lookup'!$A$1:$A$21,'rank lookup'!$B$1:$B$21,,0)</f>
        <v>17</v>
      </c>
      <c r="G38" s="1"/>
      <c r="H38" s="19">
        <v>189</v>
      </c>
      <c r="I38" s="19">
        <v>163</v>
      </c>
      <c r="J38" s="5">
        <f t="shared" si="0"/>
        <v>45.631421292796958</v>
      </c>
      <c r="K38" s="4">
        <f t="shared" si="1"/>
        <v>74.409448818897644</v>
      </c>
      <c r="L38">
        <f t="shared" si="2"/>
        <v>6</v>
      </c>
      <c r="M38">
        <f t="shared" si="3"/>
        <v>2.4</v>
      </c>
      <c r="N38" t="str">
        <f t="shared" si="4"/>
        <v>6' 2.4"</v>
      </c>
      <c r="O38">
        <f t="shared" si="5"/>
        <v>359</v>
      </c>
      <c r="P38">
        <f t="shared" si="6"/>
        <v>8</v>
      </c>
      <c r="Q38">
        <f t="shared" si="6"/>
        <v>19</v>
      </c>
      <c r="R38">
        <f t="shared" si="6"/>
        <v>24</v>
      </c>
      <c r="S38">
        <f>_xlfn.XLOOKUP(A38,'November 2022 Data'!$A$4:$A$48,'November 2022 Data'!$H$4:$H$48,,0)</f>
        <v>158</v>
      </c>
      <c r="T38">
        <f t="shared" si="7"/>
        <v>5</v>
      </c>
    </row>
    <row r="39" spans="1:20">
      <c r="A39" s="1" t="s">
        <v>122</v>
      </c>
      <c r="B39" s="1"/>
      <c r="C39" s="1" t="s">
        <v>143</v>
      </c>
      <c r="D39" s="1" t="s">
        <v>148</v>
      </c>
      <c r="E39" s="1" t="s">
        <v>150</v>
      </c>
      <c r="F39" s="1">
        <f>_xlfn.XLOOKUP(E39,'rank lookup'!$A$1:$A$21,'rank lookup'!$B$1:$B$21,,0)</f>
        <v>17</v>
      </c>
      <c r="G39" s="1"/>
      <c r="H39" s="19">
        <v>176</v>
      </c>
      <c r="I39" s="19">
        <v>128</v>
      </c>
      <c r="J39" s="5">
        <f t="shared" si="0"/>
        <v>41.32231404958678</v>
      </c>
      <c r="K39" s="4">
        <f t="shared" si="1"/>
        <v>69.29133858267717</v>
      </c>
      <c r="L39">
        <f t="shared" si="2"/>
        <v>5</v>
      </c>
      <c r="M39">
        <f t="shared" si="3"/>
        <v>9.3000000000000007</v>
      </c>
      <c r="N39" t="str">
        <f t="shared" si="4"/>
        <v>5' 9.3"</v>
      </c>
      <c r="O39">
        <f t="shared" si="5"/>
        <v>282</v>
      </c>
      <c r="P39">
        <f t="shared" si="6"/>
        <v>38</v>
      </c>
      <c r="Q39">
        <f t="shared" si="6"/>
        <v>41</v>
      </c>
      <c r="R39">
        <f t="shared" si="6"/>
        <v>39</v>
      </c>
      <c r="S39">
        <f>_xlfn.XLOOKUP(A39,'November 2022 Data'!$A$4:$A$48,'November 2022 Data'!$H$4:$H$48,,0)</f>
        <v>131</v>
      </c>
      <c r="T39">
        <f t="shared" si="7"/>
        <v>-3</v>
      </c>
    </row>
    <row r="40" spans="1:20">
      <c r="A40" s="1" t="s">
        <v>98</v>
      </c>
      <c r="B40" s="1"/>
      <c r="C40" s="1" t="s">
        <v>150</v>
      </c>
      <c r="D40" s="1" t="s">
        <v>151</v>
      </c>
      <c r="E40" s="1" t="s">
        <v>151</v>
      </c>
      <c r="F40" s="1">
        <f>_xlfn.XLOOKUP(E40,'rank lookup'!$A$1:$A$21,'rank lookup'!$B$1:$B$21,,0)</f>
        <v>18</v>
      </c>
      <c r="G40" s="1"/>
      <c r="H40" s="19">
        <v>187</v>
      </c>
      <c r="I40" s="19">
        <v>146</v>
      </c>
      <c r="J40" s="5">
        <f t="shared" si="0"/>
        <v>41.751265406502903</v>
      </c>
      <c r="K40" s="4">
        <f t="shared" si="1"/>
        <v>73.622047244094489</v>
      </c>
      <c r="L40">
        <f t="shared" si="2"/>
        <v>6</v>
      </c>
      <c r="M40">
        <f t="shared" si="3"/>
        <v>1.6</v>
      </c>
      <c r="N40" t="str">
        <f t="shared" si="4"/>
        <v>6' 1.6"</v>
      </c>
      <c r="O40">
        <f t="shared" si="5"/>
        <v>322</v>
      </c>
      <c r="P40">
        <f t="shared" si="6"/>
        <v>14</v>
      </c>
      <c r="Q40">
        <f t="shared" si="6"/>
        <v>32</v>
      </c>
      <c r="R40">
        <f t="shared" si="6"/>
        <v>37</v>
      </c>
      <c r="S40">
        <f>_xlfn.XLOOKUP(A40,'November 2022 Data'!$A$4:$A$48,'November 2022 Data'!$H$4:$H$48,,0)</f>
        <v>145</v>
      </c>
      <c r="T40">
        <f t="shared" si="7"/>
        <v>1</v>
      </c>
    </row>
    <row r="41" spans="1:20">
      <c r="A41" s="1" t="s">
        <v>166</v>
      </c>
      <c r="D41" t="s">
        <v>151</v>
      </c>
      <c r="E41" s="1" t="s">
        <v>151</v>
      </c>
      <c r="F41" s="1">
        <f>_xlfn.XLOOKUP(E41,'rank lookup'!$A$1:$A$21,'rank lookup'!$B$1:$B$21,,0)</f>
        <v>18</v>
      </c>
      <c r="H41" s="19">
        <v>191</v>
      </c>
      <c r="I41" s="19">
        <v>162</v>
      </c>
      <c r="J41" s="5">
        <f t="shared" si="0"/>
        <v>44.40667744853485</v>
      </c>
      <c r="K41" s="4">
        <f t="shared" si="1"/>
        <v>75.196850393700785</v>
      </c>
      <c r="L41">
        <f t="shared" si="2"/>
        <v>6</v>
      </c>
      <c r="M41">
        <f t="shared" si="3"/>
        <v>3.2</v>
      </c>
      <c r="N41" t="str">
        <f t="shared" si="4"/>
        <v>6' 3.2"</v>
      </c>
      <c r="O41">
        <f t="shared" si="5"/>
        <v>357</v>
      </c>
      <c r="P41">
        <f t="shared" si="6"/>
        <v>4</v>
      </c>
      <c r="Q41">
        <f t="shared" si="6"/>
        <v>22</v>
      </c>
      <c r="R41">
        <f t="shared" si="6"/>
        <v>29</v>
      </c>
      <c r="S41">
        <f>_xlfn.XLOOKUP(A41,'November 2022 Data'!$A$4:$A$48,'November 2022 Data'!$H$4:$H$48,,0)</f>
        <v>157</v>
      </c>
      <c r="T41">
        <f t="shared" si="7"/>
        <v>5</v>
      </c>
    </row>
    <row r="42" spans="1:20">
      <c r="A42" s="1" t="s">
        <v>108</v>
      </c>
      <c r="B42" s="1"/>
      <c r="C42" s="1" t="s">
        <v>152</v>
      </c>
      <c r="D42" s="1" t="s">
        <v>170</v>
      </c>
      <c r="E42" s="1" t="s">
        <v>152</v>
      </c>
      <c r="F42" s="1">
        <f>_xlfn.XLOOKUP(E42,'rank lookup'!$A$1:$A$21,'rank lookup'!$B$1:$B$21,,0)</f>
        <v>19</v>
      </c>
      <c r="G42" s="1"/>
      <c r="H42" s="19">
        <v>184</v>
      </c>
      <c r="I42" s="19">
        <v>200</v>
      </c>
      <c r="J42" s="5">
        <f t="shared" si="0"/>
        <v>59.073724007561438</v>
      </c>
      <c r="K42" s="4">
        <f t="shared" si="1"/>
        <v>72.440944881889763</v>
      </c>
      <c r="L42">
        <f t="shared" si="2"/>
        <v>6</v>
      </c>
      <c r="M42">
        <f t="shared" si="3"/>
        <v>0.4</v>
      </c>
      <c r="N42" t="str">
        <f t="shared" si="4"/>
        <v>6' 0.4"</v>
      </c>
      <c r="O42">
        <f t="shared" si="5"/>
        <v>441</v>
      </c>
      <c r="P42">
        <f t="shared" si="6"/>
        <v>22</v>
      </c>
      <c r="Q42">
        <f t="shared" si="6"/>
        <v>2</v>
      </c>
      <c r="R42">
        <f t="shared" si="6"/>
        <v>1</v>
      </c>
      <c r="S42">
        <f>_xlfn.XLOOKUP(A42,'November 2022 Data'!$A$4:$A$48,'November 2022 Data'!$H$4:$H$48,,0)</f>
        <v>200</v>
      </c>
      <c r="T42">
        <f t="shared" si="7"/>
        <v>0</v>
      </c>
    </row>
    <row r="43" spans="1:20">
      <c r="A43" t="s">
        <v>153</v>
      </c>
      <c r="C43" s="1" t="s">
        <v>154</v>
      </c>
      <c r="D43" s="1" t="s">
        <v>170</v>
      </c>
      <c r="E43" s="1" t="s">
        <v>152</v>
      </c>
      <c r="F43" s="1">
        <f>_xlfn.XLOOKUP(E43,'rank lookup'!$A$1:$A$21,'rank lookup'!$B$1:$B$21,,0)</f>
        <v>19</v>
      </c>
      <c r="G43" s="1"/>
      <c r="H43" s="19">
        <v>190</v>
      </c>
      <c r="I43" s="19">
        <v>197</v>
      </c>
      <c r="J43" s="5">
        <f t="shared" si="0"/>
        <v>54.57063711911357</v>
      </c>
      <c r="K43" s="4">
        <f t="shared" si="1"/>
        <v>74.803149606299215</v>
      </c>
      <c r="L43">
        <f t="shared" si="2"/>
        <v>6</v>
      </c>
      <c r="M43">
        <f t="shared" si="3"/>
        <v>2.8</v>
      </c>
      <c r="N43" t="str">
        <f t="shared" si="4"/>
        <v>6' 2.8"</v>
      </c>
      <c r="O43">
        <f t="shared" si="5"/>
        <v>434</v>
      </c>
      <c r="P43">
        <f t="shared" si="6"/>
        <v>5</v>
      </c>
      <c r="Q43">
        <f t="shared" si="6"/>
        <v>3</v>
      </c>
      <c r="R43">
        <f t="shared" si="6"/>
        <v>3</v>
      </c>
      <c r="S43">
        <f>_xlfn.XLOOKUP(A43,'November 2022 Data'!$A$4:$A$48,'November 2022 Data'!$H$4:$H$48,,0)</f>
        <v>197</v>
      </c>
      <c r="T43">
        <f t="shared" si="7"/>
        <v>0</v>
      </c>
    </row>
    <row r="44" spans="1:20">
      <c r="A44" s="1" t="s">
        <v>104</v>
      </c>
      <c r="B44" s="1"/>
      <c r="C44" s="1" t="s">
        <v>140</v>
      </c>
      <c r="D44" s="1" t="s">
        <v>142</v>
      </c>
      <c r="E44" s="1" t="s">
        <v>154</v>
      </c>
      <c r="F44" s="1">
        <f>_xlfn.XLOOKUP(E44,'rank lookup'!$A$1:$A$21,'rank lookup'!$B$1:$B$21,,0)</f>
        <v>20</v>
      </c>
      <c r="G44" s="1"/>
      <c r="H44" s="19">
        <v>186</v>
      </c>
      <c r="I44" s="19">
        <v>171</v>
      </c>
      <c r="J44" s="5">
        <f t="shared" si="0"/>
        <v>49.427679500520291</v>
      </c>
      <c r="K44" s="4">
        <f t="shared" si="1"/>
        <v>73.228346456692918</v>
      </c>
      <c r="L44">
        <f t="shared" si="2"/>
        <v>6</v>
      </c>
      <c r="M44">
        <f t="shared" si="3"/>
        <v>1.2</v>
      </c>
      <c r="N44" t="str">
        <f t="shared" si="4"/>
        <v>6' 1.2"</v>
      </c>
      <c r="O44">
        <f t="shared" si="5"/>
        <v>377</v>
      </c>
      <c r="P44">
        <f t="shared" si="6"/>
        <v>17</v>
      </c>
      <c r="Q44">
        <f t="shared" si="6"/>
        <v>13</v>
      </c>
      <c r="R44">
        <f t="shared" si="6"/>
        <v>13</v>
      </c>
      <c r="S44">
        <f>_xlfn.XLOOKUP(A44,'November 2022 Data'!$A$4:$A$48,'November 2022 Data'!$H$4:$H$48,,0)</f>
        <v>166</v>
      </c>
      <c r="T44">
        <f t="shared" si="7"/>
        <v>5</v>
      </c>
    </row>
    <row r="45" spans="1:20">
      <c r="A45" t="s">
        <v>119</v>
      </c>
      <c r="E45" s="1" t="s">
        <v>154</v>
      </c>
      <c r="F45" s="1">
        <f>_xlfn.XLOOKUP(E45,'rank lookup'!$A$1:$A$21,'rank lookup'!$B$1:$B$21,,0)</f>
        <v>20</v>
      </c>
      <c r="H45" s="19">
        <v>177</v>
      </c>
      <c r="I45" s="19">
        <v>169</v>
      </c>
      <c r="J45" s="5">
        <f t="shared" si="0"/>
        <v>53.943630502090713</v>
      </c>
      <c r="K45" s="4">
        <f t="shared" si="1"/>
        <v>69.685039370078741</v>
      </c>
      <c r="L45">
        <f t="shared" si="2"/>
        <v>5</v>
      </c>
      <c r="M45">
        <f t="shared" si="3"/>
        <v>9.6999999999999993</v>
      </c>
      <c r="N45" t="str">
        <f t="shared" si="4"/>
        <v>5' 9.7"</v>
      </c>
      <c r="O45">
        <f t="shared" si="5"/>
        <v>373</v>
      </c>
      <c r="P45">
        <f t="shared" si="6"/>
        <v>37</v>
      </c>
      <c r="Q45">
        <f t="shared" si="6"/>
        <v>14</v>
      </c>
      <c r="R45">
        <f t="shared" si="6"/>
        <v>5</v>
      </c>
    </row>
    <row r="46" spans="1:20">
      <c r="A46" s="1" t="s">
        <v>113</v>
      </c>
      <c r="B46" s="1"/>
      <c r="C46" s="1" t="s">
        <v>147</v>
      </c>
      <c r="D46" s="1" t="s">
        <v>148</v>
      </c>
      <c r="E46" s="1" t="s">
        <v>179</v>
      </c>
      <c r="F46" s="1" t="e">
        <f>_xlfn.XLOOKUP(E46,'rank lookup'!$A$1:$A$21,'rank lookup'!$B$1:$B$21,,0)</f>
        <v>#N/A</v>
      </c>
      <c r="G46" s="1"/>
      <c r="H46" s="19">
        <v>181</v>
      </c>
      <c r="I46" s="19">
        <v>189</v>
      </c>
      <c r="J46" s="5">
        <f t="shared" si="0"/>
        <v>57.690546686609082</v>
      </c>
      <c r="K46" s="4">
        <f t="shared" si="1"/>
        <v>71.259842519685037</v>
      </c>
      <c r="L46">
        <f t="shared" si="2"/>
        <v>5</v>
      </c>
      <c r="M46">
        <f t="shared" si="3"/>
        <v>11.3</v>
      </c>
      <c r="N46" t="str">
        <f t="shared" si="4"/>
        <v>5' 11.3"</v>
      </c>
      <c r="O46">
        <f t="shared" si="5"/>
        <v>417</v>
      </c>
    </row>
    <row r="47" spans="1:20">
      <c r="A47" s="1" t="s">
        <v>168</v>
      </c>
      <c r="D47" t="s">
        <v>152</v>
      </c>
      <c r="E47" s="1" t="s">
        <v>170</v>
      </c>
      <c r="F47" s="1" t="e">
        <f>_xlfn.XLOOKUP(E47,'rank lookup'!$A$1:$A$21,'rank lookup'!$B$1:$B$21,,0)</f>
        <v>#N/A</v>
      </c>
      <c r="H47" s="19">
        <v>185</v>
      </c>
      <c r="I47" s="19">
        <v>177</v>
      </c>
      <c r="J47" s="5">
        <f t="shared" si="0"/>
        <v>51.716581446311181</v>
      </c>
      <c r="K47" s="4">
        <f t="shared" si="1"/>
        <v>72.834645669291348</v>
      </c>
      <c r="L47">
        <f t="shared" si="2"/>
        <v>6</v>
      </c>
      <c r="M47">
        <f t="shared" si="3"/>
        <v>0.8</v>
      </c>
      <c r="N47" t="str">
        <f t="shared" si="4"/>
        <v>6' 0.8"</v>
      </c>
      <c r="O47">
        <f t="shared" si="5"/>
        <v>390</v>
      </c>
    </row>
    <row r="48" spans="1:20">
      <c r="A48" s="1" t="s">
        <v>126</v>
      </c>
      <c r="B48" s="1"/>
      <c r="C48" s="1" t="s">
        <v>152</v>
      </c>
      <c r="D48" s="1" t="s">
        <v>154</v>
      </c>
      <c r="E48" s="1" t="s">
        <v>180</v>
      </c>
      <c r="F48" s="1" t="e">
        <f>_xlfn.XLOOKUP(E48,'rank lookup'!$A$1:$A$21,'rank lookup'!$B$1:$B$21,,0)</f>
        <v>#N/A</v>
      </c>
      <c r="G48" s="1"/>
      <c r="H48" s="19">
        <v>169</v>
      </c>
      <c r="I48" s="19">
        <v>107</v>
      </c>
      <c r="J48" s="5">
        <f t="shared" si="0"/>
        <v>37.463674241098005</v>
      </c>
      <c r="K48" s="4">
        <f t="shared" si="1"/>
        <v>66.535433070866134</v>
      </c>
      <c r="L48">
        <f t="shared" si="2"/>
        <v>5</v>
      </c>
      <c r="M48">
        <f t="shared" si="3"/>
        <v>6.5</v>
      </c>
      <c r="N48" t="str">
        <f t="shared" si="4"/>
        <v>5' 6.5"</v>
      </c>
      <c r="O48">
        <f t="shared" si="5"/>
        <v>236</v>
      </c>
    </row>
    <row r="49" spans="1:15">
      <c r="A49" s="1" t="s">
        <v>107</v>
      </c>
      <c r="B49" s="1"/>
      <c r="C49" s="1" t="s">
        <v>151</v>
      </c>
      <c r="D49" s="1" t="s">
        <v>169</v>
      </c>
      <c r="E49" s="1" t="s">
        <v>179</v>
      </c>
      <c r="F49" s="1" t="e">
        <f>_xlfn.XLOOKUP(E49,'rank lookup'!$A$1:$A$21,'rank lookup'!$B$1:$B$21,,0)</f>
        <v>#N/A</v>
      </c>
      <c r="G49" s="1"/>
      <c r="H49" s="19">
        <v>185</v>
      </c>
      <c r="I49" s="19">
        <v>181</v>
      </c>
      <c r="J49" s="5">
        <f t="shared" si="0"/>
        <v>52.885317750182615</v>
      </c>
      <c r="K49" s="4">
        <f t="shared" si="1"/>
        <v>72.834645669291348</v>
      </c>
      <c r="L49">
        <f t="shared" si="2"/>
        <v>6</v>
      </c>
      <c r="M49">
        <f t="shared" si="3"/>
        <v>0.8</v>
      </c>
      <c r="N49" t="str">
        <f t="shared" si="4"/>
        <v>6' 0.8"</v>
      </c>
      <c r="O49">
        <f t="shared" si="5"/>
        <v>399</v>
      </c>
    </row>
  </sheetData>
  <autoFilter ref="A3:O38" xr:uid="{7067DD38-AD06-4250-9520-A2F29B57D9C0}">
    <sortState xmlns:xlrd2="http://schemas.microsoft.com/office/spreadsheetml/2017/richdata2" ref="A4:O49">
      <sortCondition ref="F3:F38"/>
    </sortState>
  </autoFilter>
  <hyperlinks>
    <hyperlink ref="C2" r:id="rId1" xr:uid="{56B2D7DA-A872-4581-8686-C2C72C36CD24}"/>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0C5FB-035E-42D8-81B6-EEA918FFAAF4}">
  <dimension ref="A1:S48"/>
  <sheetViews>
    <sheetView zoomScale="106" zoomScaleNormal="106" workbookViewId="0">
      <pane xSplit="1" ySplit="3" topLeftCell="B18" activePane="bottomRight" state="frozen"/>
      <selection pane="topRight" activeCell="B1" sqref="B1"/>
      <selection pane="bottomLeft" activeCell="A4" sqref="A4"/>
      <selection pane="bottomRight" activeCell="J19" sqref="J19"/>
    </sheetView>
  </sheetViews>
  <sheetFormatPr defaultRowHeight="14.5"/>
  <cols>
    <col min="1" max="6" width="21.1796875" customWidth="1"/>
    <col min="9" max="9" width="11.26953125" bestFit="1" customWidth="1"/>
    <col min="10" max="10" width="8.7265625" style="4"/>
    <col min="17" max="17" width="9.54296875" customWidth="1"/>
  </cols>
  <sheetData>
    <row r="1" spans="1:19">
      <c r="C1" t="s">
        <v>174</v>
      </c>
    </row>
    <row r="2" spans="1:19">
      <c r="C2" s="17" t="s">
        <v>162</v>
      </c>
      <c r="D2" s="17"/>
      <c r="O2">
        <f>MAX(O4:O45)</f>
        <v>42</v>
      </c>
      <c r="P2">
        <f>MAX(P4:P45)</f>
        <v>42</v>
      </c>
      <c r="Q2">
        <f>MAX(Q4:Q45)</f>
        <v>42</v>
      </c>
    </row>
    <row r="3" spans="1:19">
      <c r="A3" t="s">
        <v>3</v>
      </c>
      <c r="B3" t="s">
        <v>11</v>
      </c>
      <c r="C3" t="s">
        <v>131</v>
      </c>
      <c r="D3" t="s">
        <v>163</v>
      </c>
      <c r="E3" t="s">
        <v>156</v>
      </c>
      <c r="F3" t="s">
        <v>164</v>
      </c>
      <c r="G3" t="s">
        <v>5</v>
      </c>
      <c r="H3" t="s">
        <v>4</v>
      </c>
      <c r="I3" t="s">
        <v>26</v>
      </c>
      <c r="J3" s="4" t="s">
        <v>6</v>
      </c>
      <c r="K3" t="s">
        <v>7</v>
      </c>
      <c r="L3" t="s">
        <v>8</v>
      </c>
      <c r="M3" t="s">
        <v>9</v>
      </c>
      <c r="N3" t="s">
        <v>10</v>
      </c>
      <c r="O3" t="s">
        <v>171</v>
      </c>
      <c r="P3" t="s">
        <v>172</v>
      </c>
      <c r="Q3" t="s">
        <v>173</v>
      </c>
      <c r="S3" s="14"/>
    </row>
    <row r="4" spans="1:19" ht="37.5">
      <c r="A4" s="1" t="s">
        <v>86</v>
      </c>
      <c r="B4" s="1">
        <v>7</v>
      </c>
      <c r="C4" s="1" t="s">
        <v>14</v>
      </c>
      <c r="D4" s="1" t="s">
        <v>14</v>
      </c>
      <c r="E4" s="1">
        <f>_xlfn.XLOOKUP(D4,'rank lookup'!$A$1:$A$21,'rank lookup'!$B$1:$B$21,,0)</f>
        <v>1</v>
      </c>
      <c r="F4" s="1" t="s">
        <v>165</v>
      </c>
      <c r="G4" s="19">
        <v>192</v>
      </c>
      <c r="H4" s="19">
        <v>181</v>
      </c>
      <c r="I4" s="5">
        <f t="shared" ref="I4:I41" si="0">H4/(G4*G4)*10000</f>
        <v>49.099392361111107</v>
      </c>
      <c r="J4" s="4">
        <f t="shared" ref="J4:J41" si="1">CONVERT(G4,"cm","in")</f>
        <v>75.59055118110237</v>
      </c>
      <c r="K4">
        <f t="shared" ref="K4:K41" si="2">_xlfn.FLOOR.MATH(J4/12)</f>
        <v>6</v>
      </c>
      <c r="L4">
        <f t="shared" ref="L4:L41" si="3">ROUND(J4-K4*12,1)</f>
        <v>3.6</v>
      </c>
      <c r="M4" t="str">
        <f t="shared" ref="M4:M41" si="4">K4&amp;"' "&amp;L4&amp;""""</f>
        <v>6' 3.6"</v>
      </c>
      <c r="N4">
        <f t="shared" ref="N4:N41" si="5">ROUND(CONVERT(H4,"kg","lbm"),0)</f>
        <v>399</v>
      </c>
      <c r="O4">
        <f>_xlfn.RANK.EQ(G4,G$4:G$45)</f>
        <v>2</v>
      </c>
      <c r="P4">
        <f>_xlfn.RANK.EQ(H4,H$4:H$45)</f>
        <v>5</v>
      </c>
      <c r="Q4">
        <f>_xlfn.RANK.EQ(I4,I$4:I$45)</f>
        <v>13</v>
      </c>
    </row>
    <row r="5" spans="1:19">
      <c r="A5" s="1" t="s">
        <v>123</v>
      </c>
      <c r="B5" s="1">
        <v>2</v>
      </c>
      <c r="C5" s="1" t="s">
        <v>39</v>
      </c>
      <c r="D5" s="1" t="s">
        <v>39</v>
      </c>
      <c r="E5" s="1">
        <f>_xlfn.XLOOKUP(D5,'rank lookup'!$A$1:$A$21,'rank lookup'!$B$1:$B$21,,0)</f>
        <v>2</v>
      </c>
      <c r="F5" s="1"/>
      <c r="G5" s="19">
        <v>175</v>
      </c>
      <c r="H5" s="19">
        <v>163</v>
      </c>
      <c r="I5" s="5">
        <f t="shared" si="0"/>
        <v>53.224489795918366</v>
      </c>
      <c r="J5" s="4">
        <f t="shared" si="1"/>
        <v>68.897637795275585</v>
      </c>
      <c r="K5">
        <f t="shared" si="2"/>
        <v>5</v>
      </c>
      <c r="L5">
        <f t="shared" si="3"/>
        <v>8.9</v>
      </c>
      <c r="M5" t="str">
        <f t="shared" si="4"/>
        <v>5' 8.9"</v>
      </c>
      <c r="N5">
        <f t="shared" si="5"/>
        <v>359</v>
      </c>
      <c r="O5">
        <f t="shared" ref="O5:Q45" si="6">_xlfn.RANK.EQ(G5,G$4:G$45)</f>
        <v>38</v>
      </c>
      <c r="P5">
        <f t="shared" si="6"/>
        <v>15</v>
      </c>
      <c r="Q5">
        <f t="shared" si="6"/>
        <v>4</v>
      </c>
    </row>
    <row r="6" spans="1:19">
      <c r="A6" s="1" t="s">
        <v>109</v>
      </c>
      <c r="B6" s="1">
        <v>1</v>
      </c>
      <c r="C6" s="1" t="s">
        <v>39</v>
      </c>
      <c r="D6" s="1" t="s">
        <v>39</v>
      </c>
      <c r="E6" s="1">
        <f>_xlfn.XLOOKUP(D6,'rank lookup'!$A$1:$A$21,'rank lookup'!$B$1:$B$21,,0)</f>
        <v>2</v>
      </c>
      <c r="F6" s="1"/>
      <c r="G6" s="19">
        <v>183</v>
      </c>
      <c r="H6" s="19">
        <v>162</v>
      </c>
      <c r="I6" s="5">
        <f t="shared" si="0"/>
        <v>48.374092985756519</v>
      </c>
      <c r="J6" s="4">
        <f t="shared" si="1"/>
        <v>72.047244094488192</v>
      </c>
      <c r="K6">
        <f t="shared" si="2"/>
        <v>6</v>
      </c>
      <c r="L6">
        <f t="shared" si="3"/>
        <v>0</v>
      </c>
      <c r="M6" t="str">
        <f t="shared" si="4"/>
        <v>6' 0"</v>
      </c>
      <c r="N6">
        <f t="shared" si="5"/>
        <v>357</v>
      </c>
      <c r="O6">
        <f t="shared" si="6"/>
        <v>26</v>
      </c>
      <c r="P6">
        <f t="shared" si="6"/>
        <v>16</v>
      </c>
      <c r="Q6">
        <f t="shared" si="6"/>
        <v>17</v>
      </c>
    </row>
    <row r="7" spans="1:19">
      <c r="A7" s="1" t="s">
        <v>116</v>
      </c>
      <c r="B7" s="1">
        <v>2</v>
      </c>
      <c r="C7" s="1" t="s">
        <v>39</v>
      </c>
      <c r="D7" s="1" t="s">
        <v>31</v>
      </c>
      <c r="E7" s="1">
        <f>_xlfn.XLOOKUP(D7,'rank lookup'!$A$1:$A$21,'rank lookup'!$B$1:$B$21,,0)</f>
        <v>3</v>
      </c>
      <c r="F7" s="1"/>
      <c r="G7" s="19">
        <v>179</v>
      </c>
      <c r="H7" s="19">
        <v>171</v>
      </c>
      <c r="I7" s="5">
        <f t="shared" si="0"/>
        <v>53.369120813957117</v>
      </c>
      <c r="J7" s="4">
        <f t="shared" si="1"/>
        <v>70.472440944881896</v>
      </c>
      <c r="K7">
        <f t="shared" si="2"/>
        <v>5</v>
      </c>
      <c r="L7">
        <f t="shared" si="3"/>
        <v>10.5</v>
      </c>
      <c r="M7" t="str">
        <f t="shared" si="4"/>
        <v>5' 10.5"</v>
      </c>
      <c r="N7">
        <f t="shared" si="5"/>
        <v>377</v>
      </c>
      <c r="O7">
        <f t="shared" si="6"/>
        <v>34</v>
      </c>
      <c r="P7">
        <f t="shared" si="6"/>
        <v>10</v>
      </c>
      <c r="Q7">
        <f t="shared" si="6"/>
        <v>3</v>
      </c>
    </row>
    <row r="8" spans="1:19">
      <c r="A8" s="1" t="s">
        <v>114</v>
      </c>
      <c r="B8" s="1"/>
      <c r="C8" s="1" t="s">
        <v>31</v>
      </c>
      <c r="D8" s="1" t="s">
        <v>31</v>
      </c>
      <c r="E8" s="1">
        <f>_xlfn.XLOOKUP(D8,'rank lookup'!$A$1:$A$21,'rank lookup'!$B$1:$B$21,,0)</f>
        <v>3</v>
      </c>
      <c r="F8" s="1"/>
      <c r="G8" s="19">
        <v>183</v>
      </c>
      <c r="H8" s="19">
        <v>132</v>
      </c>
      <c r="I8" s="5">
        <f t="shared" si="0"/>
        <v>39.415927618023829</v>
      </c>
      <c r="J8" s="4">
        <f t="shared" si="1"/>
        <v>72.047244094488192</v>
      </c>
      <c r="K8">
        <f t="shared" si="2"/>
        <v>6</v>
      </c>
      <c r="L8">
        <f t="shared" si="3"/>
        <v>0</v>
      </c>
      <c r="M8" t="str">
        <f t="shared" si="4"/>
        <v>6' 0"</v>
      </c>
      <c r="N8">
        <f t="shared" si="5"/>
        <v>291</v>
      </c>
      <c r="O8">
        <f t="shared" si="6"/>
        <v>26</v>
      </c>
      <c r="P8">
        <f t="shared" si="6"/>
        <v>39</v>
      </c>
      <c r="Q8">
        <f t="shared" si="6"/>
        <v>39</v>
      </c>
    </row>
    <row r="9" spans="1:19">
      <c r="A9" s="1" t="s">
        <v>95</v>
      </c>
      <c r="B9" s="1"/>
      <c r="C9" s="1" t="s">
        <v>31</v>
      </c>
      <c r="D9" s="1" t="s">
        <v>31</v>
      </c>
      <c r="E9" s="1">
        <f>_xlfn.XLOOKUP(D9,'rank lookup'!$A$1:$A$21,'rank lookup'!$B$1:$B$21,,0)</f>
        <v>3</v>
      </c>
      <c r="F9" s="1"/>
      <c r="G9" s="19">
        <v>185</v>
      </c>
      <c r="H9" s="19">
        <v>140</v>
      </c>
      <c r="I9" s="5">
        <f t="shared" si="0"/>
        <v>40.905770635500367</v>
      </c>
      <c r="J9" s="4">
        <f t="shared" si="1"/>
        <v>72.834645669291348</v>
      </c>
      <c r="K9">
        <f t="shared" si="2"/>
        <v>6</v>
      </c>
      <c r="L9">
        <f t="shared" si="3"/>
        <v>0.8</v>
      </c>
      <c r="M9" t="str">
        <f t="shared" si="4"/>
        <v>6' 0.8"</v>
      </c>
      <c r="N9">
        <f t="shared" si="5"/>
        <v>309</v>
      </c>
      <c r="O9">
        <f t="shared" si="6"/>
        <v>19</v>
      </c>
      <c r="P9">
        <f t="shared" si="6"/>
        <v>33</v>
      </c>
      <c r="Q9">
        <f t="shared" si="6"/>
        <v>36</v>
      </c>
    </row>
    <row r="10" spans="1:19">
      <c r="A10" s="1" t="s">
        <v>112</v>
      </c>
      <c r="B10" s="1">
        <v>1</v>
      </c>
      <c r="C10" s="1" t="s">
        <v>31</v>
      </c>
      <c r="D10" s="1" t="s">
        <v>42</v>
      </c>
      <c r="E10" s="1">
        <f>_xlfn.XLOOKUP(D10,'rank lookup'!$A$1:$A$21,'rank lookup'!$B$1:$B$21,,0)</f>
        <v>4</v>
      </c>
      <c r="F10" s="1"/>
      <c r="G10" s="19">
        <v>182</v>
      </c>
      <c r="H10" s="19">
        <v>161</v>
      </c>
      <c r="I10" s="5">
        <f t="shared" si="0"/>
        <v>48.605240912933226</v>
      </c>
      <c r="J10" s="4">
        <f t="shared" si="1"/>
        <v>71.653543307086608</v>
      </c>
      <c r="K10">
        <f t="shared" si="2"/>
        <v>5</v>
      </c>
      <c r="L10">
        <f t="shared" si="3"/>
        <v>11.7</v>
      </c>
      <c r="M10" t="str">
        <f t="shared" si="4"/>
        <v>5' 11.7"</v>
      </c>
      <c r="N10">
        <f t="shared" si="5"/>
        <v>355</v>
      </c>
      <c r="O10">
        <f t="shared" si="6"/>
        <v>30</v>
      </c>
      <c r="P10">
        <f t="shared" si="6"/>
        <v>18</v>
      </c>
      <c r="Q10">
        <f t="shared" si="6"/>
        <v>15</v>
      </c>
    </row>
    <row r="11" spans="1:19">
      <c r="A11" s="1" t="s">
        <v>102</v>
      </c>
      <c r="B11" s="1"/>
      <c r="C11" s="1" t="s">
        <v>42</v>
      </c>
      <c r="D11" s="1" t="s">
        <v>42</v>
      </c>
      <c r="E11" s="1">
        <f>_xlfn.XLOOKUP(D11,'rank lookup'!$A$1:$A$21,'rank lookup'!$B$1:$B$21,,0)</f>
        <v>4</v>
      </c>
      <c r="F11" s="1"/>
      <c r="G11" s="19">
        <v>185</v>
      </c>
      <c r="H11" s="19">
        <v>138</v>
      </c>
      <c r="I11" s="5">
        <f t="shared" si="0"/>
        <v>40.321402483564647</v>
      </c>
      <c r="J11" s="4">
        <f t="shared" si="1"/>
        <v>72.834645669291348</v>
      </c>
      <c r="K11">
        <f t="shared" si="2"/>
        <v>6</v>
      </c>
      <c r="L11">
        <f t="shared" si="3"/>
        <v>0.8</v>
      </c>
      <c r="M11" t="str">
        <f t="shared" si="4"/>
        <v>6' 0.8"</v>
      </c>
      <c r="N11">
        <f t="shared" si="5"/>
        <v>304</v>
      </c>
      <c r="O11">
        <f t="shared" si="6"/>
        <v>19</v>
      </c>
      <c r="P11">
        <f t="shared" si="6"/>
        <v>34</v>
      </c>
      <c r="Q11">
        <f t="shared" si="6"/>
        <v>37</v>
      </c>
    </row>
    <row r="12" spans="1:19">
      <c r="A12" s="1" t="s">
        <v>124</v>
      </c>
      <c r="B12" s="1"/>
      <c r="C12" s="1" t="s">
        <v>132</v>
      </c>
      <c r="D12" s="1" t="s">
        <v>42</v>
      </c>
      <c r="E12" s="1">
        <f>_xlfn.XLOOKUP(D12,'rank lookup'!$A$1:$A$21,'rank lookup'!$B$1:$B$21,,0)</f>
        <v>4</v>
      </c>
      <c r="F12" s="1"/>
      <c r="G12" s="19">
        <v>174</v>
      </c>
      <c r="H12" s="19">
        <v>133</v>
      </c>
      <c r="I12" s="5">
        <f t="shared" si="0"/>
        <v>43.929184832870916</v>
      </c>
      <c r="J12" s="4">
        <f t="shared" si="1"/>
        <v>68.503937007874015</v>
      </c>
      <c r="K12">
        <f t="shared" si="2"/>
        <v>5</v>
      </c>
      <c r="L12">
        <f t="shared" si="3"/>
        <v>8.5</v>
      </c>
      <c r="M12" t="str">
        <f t="shared" si="4"/>
        <v>5' 8.5"</v>
      </c>
      <c r="N12">
        <f t="shared" si="5"/>
        <v>293</v>
      </c>
      <c r="O12">
        <f t="shared" si="6"/>
        <v>40</v>
      </c>
      <c r="P12">
        <f t="shared" si="6"/>
        <v>38</v>
      </c>
      <c r="Q12">
        <f t="shared" si="6"/>
        <v>25</v>
      </c>
    </row>
    <row r="13" spans="1:19">
      <c r="A13" s="1" t="s">
        <v>92</v>
      </c>
      <c r="B13" s="1">
        <v>2</v>
      </c>
      <c r="C13" s="1" t="s">
        <v>137</v>
      </c>
      <c r="D13" s="1" t="s">
        <v>42</v>
      </c>
      <c r="E13" s="1">
        <f>_xlfn.XLOOKUP(D13,'rank lookup'!$A$1:$A$21,'rank lookup'!$B$1:$B$21,,0)</f>
        <v>4</v>
      </c>
      <c r="F13" s="1"/>
      <c r="G13" s="19">
        <v>189</v>
      </c>
      <c r="H13" s="19">
        <v>174</v>
      </c>
      <c r="I13" s="5">
        <f t="shared" si="0"/>
        <v>48.710842361636011</v>
      </c>
      <c r="J13" s="4">
        <f t="shared" si="1"/>
        <v>74.409448818897644</v>
      </c>
      <c r="K13">
        <f t="shared" si="2"/>
        <v>6</v>
      </c>
      <c r="L13">
        <f t="shared" si="3"/>
        <v>2.4</v>
      </c>
      <c r="M13" t="str">
        <f t="shared" si="4"/>
        <v>6' 2.4"</v>
      </c>
      <c r="N13">
        <f t="shared" si="5"/>
        <v>384</v>
      </c>
      <c r="O13">
        <f t="shared" si="6"/>
        <v>7</v>
      </c>
      <c r="P13">
        <f t="shared" si="6"/>
        <v>9</v>
      </c>
      <c r="Q13">
        <f t="shared" si="6"/>
        <v>14</v>
      </c>
    </row>
    <row r="14" spans="1:19">
      <c r="A14" s="1" t="s">
        <v>94</v>
      </c>
      <c r="B14" s="1"/>
      <c r="C14" s="1" t="s">
        <v>136</v>
      </c>
      <c r="D14" s="1" t="s">
        <v>132</v>
      </c>
      <c r="E14" s="1">
        <f>_xlfn.XLOOKUP(D14,'rank lookup'!$A$1:$A$21,'rank lookup'!$B$1:$B$21,,0)</f>
        <v>5</v>
      </c>
      <c r="F14" s="1"/>
      <c r="G14" s="19">
        <v>189</v>
      </c>
      <c r="H14" s="19">
        <v>167</v>
      </c>
      <c r="I14" s="5">
        <f t="shared" si="0"/>
        <v>46.751210772374797</v>
      </c>
      <c r="J14" s="4">
        <f t="shared" si="1"/>
        <v>74.409448818897644</v>
      </c>
      <c r="K14">
        <f t="shared" si="2"/>
        <v>6</v>
      </c>
      <c r="L14">
        <f t="shared" si="3"/>
        <v>2.4</v>
      </c>
      <c r="M14" t="str">
        <f t="shared" si="4"/>
        <v>6' 2.4"</v>
      </c>
      <c r="N14">
        <f t="shared" si="5"/>
        <v>368</v>
      </c>
      <c r="O14">
        <f t="shared" si="6"/>
        <v>7</v>
      </c>
      <c r="P14">
        <f t="shared" si="6"/>
        <v>12</v>
      </c>
      <c r="Q14">
        <f t="shared" si="6"/>
        <v>21</v>
      </c>
    </row>
    <row r="15" spans="1:19">
      <c r="A15" s="1" t="s">
        <v>96</v>
      </c>
      <c r="B15" s="1"/>
      <c r="C15" s="1" t="s">
        <v>139</v>
      </c>
      <c r="D15" s="1" t="s">
        <v>132</v>
      </c>
      <c r="E15" s="1">
        <f>_xlfn.XLOOKUP(D15,'rank lookup'!$A$1:$A$21,'rank lookup'!$B$1:$B$21,,0)</f>
        <v>5</v>
      </c>
      <c r="F15" s="1"/>
      <c r="G15" s="19">
        <v>186</v>
      </c>
      <c r="H15" s="19">
        <v>182</v>
      </c>
      <c r="I15" s="5">
        <f t="shared" si="0"/>
        <v>52.607237830963122</v>
      </c>
      <c r="J15" s="4">
        <f t="shared" si="1"/>
        <v>73.228346456692918</v>
      </c>
      <c r="K15">
        <f t="shared" si="2"/>
        <v>6</v>
      </c>
      <c r="L15">
        <f t="shared" si="3"/>
        <v>1.2</v>
      </c>
      <c r="M15" t="str">
        <f t="shared" si="4"/>
        <v>6' 1.2"</v>
      </c>
      <c r="N15">
        <f t="shared" si="5"/>
        <v>401</v>
      </c>
      <c r="O15">
        <f t="shared" si="6"/>
        <v>16</v>
      </c>
      <c r="P15">
        <f t="shared" si="6"/>
        <v>4</v>
      </c>
      <c r="Q15">
        <f t="shared" si="6"/>
        <v>5</v>
      </c>
    </row>
    <row r="16" spans="1:19">
      <c r="A16" s="1" t="s">
        <v>89</v>
      </c>
      <c r="B16" s="1">
        <v>1</v>
      </c>
      <c r="C16" s="1" t="s">
        <v>42</v>
      </c>
      <c r="D16" s="1" t="s">
        <v>136</v>
      </c>
      <c r="E16" s="1">
        <f>_xlfn.XLOOKUP(D16,'rank lookup'!$A$1:$A$21,'rank lookup'!$B$1:$B$21,,0)</f>
        <v>6</v>
      </c>
      <c r="F16" s="1"/>
      <c r="G16" s="19">
        <v>190</v>
      </c>
      <c r="H16" s="19">
        <v>212</v>
      </c>
      <c r="I16" s="5">
        <f t="shared" si="0"/>
        <v>58.725761772853183</v>
      </c>
      <c r="J16" s="4">
        <f t="shared" si="1"/>
        <v>74.803149606299215</v>
      </c>
      <c r="K16">
        <f t="shared" si="2"/>
        <v>6</v>
      </c>
      <c r="L16">
        <f t="shared" si="3"/>
        <v>2.8</v>
      </c>
      <c r="M16" t="str">
        <f t="shared" si="4"/>
        <v>6' 2.8"</v>
      </c>
      <c r="N16">
        <f t="shared" si="5"/>
        <v>467</v>
      </c>
      <c r="O16">
        <f t="shared" si="6"/>
        <v>5</v>
      </c>
      <c r="P16">
        <f t="shared" si="6"/>
        <v>1</v>
      </c>
      <c r="Q16">
        <f t="shared" si="6"/>
        <v>1</v>
      </c>
    </row>
    <row r="17" spans="1:17">
      <c r="A17" s="1" t="s">
        <v>117</v>
      </c>
      <c r="B17" s="1"/>
      <c r="C17" s="1" t="s">
        <v>136</v>
      </c>
      <c r="D17" s="1" t="s">
        <v>136</v>
      </c>
      <c r="E17" s="1">
        <f>_xlfn.XLOOKUP(D17,'rank lookup'!$A$1:$A$21,'rank lookup'!$B$1:$B$21,,0)</f>
        <v>6</v>
      </c>
      <c r="F17" s="1"/>
      <c r="G17" s="19">
        <v>180</v>
      </c>
      <c r="H17" s="19">
        <v>153</v>
      </c>
      <c r="I17" s="5">
        <f t="shared" si="0"/>
        <v>47.222222222222221</v>
      </c>
      <c r="J17" s="4">
        <f t="shared" si="1"/>
        <v>70.866141732283467</v>
      </c>
      <c r="K17">
        <f t="shared" si="2"/>
        <v>5</v>
      </c>
      <c r="L17">
        <f t="shared" si="3"/>
        <v>10.9</v>
      </c>
      <c r="M17" t="str">
        <f t="shared" si="4"/>
        <v>5' 10.9"</v>
      </c>
      <c r="N17">
        <f t="shared" si="5"/>
        <v>337</v>
      </c>
      <c r="O17">
        <f t="shared" si="6"/>
        <v>33</v>
      </c>
      <c r="P17">
        <f t="shared" si="6"/>
        <v>26</v>
      </c>
      <c r="Q17">
        <f t="shared" si="6"/>
        <v>20</v>
      </c>
    </row>
    <row r="18" spans="1:17">
      <c r="A18" s="1" t="s">
        <v>133</v>
      </c>
      <c r="C18" t="s">
        <v>132</v>
      </c>
      <c r="D18" s="1" t="s">
        <v>137</v>
      </c>
      <c r="E18" s="1">
        <f>_xlfn.XLOOKUP(D18,'rank lookup'!$A$1:$A$21,'rank lookup'!$B$1:$B$21,,0)</f>
        <v>7</v>
      </c>
      <c r="F18" s="1"/>
      <c r="G18" s="19">
        <v>171</v>
      </c>
      <c r="H18" s="19">
        <v>114</v>
      </c>
      <c r="I18" s="5">
        <f t="shared" si="0"/>
        <v>38.98635477582846</v>
      </c>
      <c r="J18" s="4">
        <f t="shared" si="1"/>
        <v>67.322834645669289</v>
      </c>
      <c r="K18">
        <f t="shared" si="2"/>
        <v>5</v>
      </c>
      <c r="L18">
        <f t="shared" si="3"/>
        <v>7.3</v>
      </c>
      <c r="M18" t="str">
        <f t="shared" si="4"/>
        <v>5' 7.3"</v>
      </c>
      <c r="N18">
        <f t="shared" si="5"/>
        <v>251</v>
      </c>
      <c r="O18">
        <f t="shared" si="6"/>
        <v>41</v>
      </c>
      <c r="P18">
        <f t="shared" si="6"/>
        <v>41</v>
      </c>
      <c r="Q18">
        <f t="shared" si="6"/>
        <v>41</v>
      </c>
    </row>
    <row r="19" spans="1:17">
      <c r="A19" s="1" t="s">
        <v>121</v>
      </c>
      <c r="B19" s="1"/>
      <c r="C19" s="1" t="s">
        <v>137</v>
      </c>
      <c r="D19" s="1" t="s">
        <v>137</v>
      </c>
      <c r="E19" s="1">
        <f>_xlfn.XLOOKUP(D19,'rank lookup'!$A$1:$A$21,'rank lookup'!$B$1:$B$21,,0)</f>
        <v>7</v>
      </c>
      <c r="F19" s="1"/>
      <c r="G19" s="19">
        <v>175</v>
      </c>
      <c r="H19" s="19">
        <v>151</v>
      </c>
      <c r="I19" s="5">
        <f t="shared" si="0"/>
        <v>49.306122448979593</v>
      </c>
      <c r="J19" s="4">
        <f t="shared" si="1"/>
        <v>68.897637795275585</v>
      </c>
      <c r="K19">
        <f t="shared" si="2"/>
        <v>5</v>
      </c>
      <c r="L19">
        <f t="shared" si="3"/>
        <v>8.9</v>
      </c>
      <c r="M19" t="str">
        <f t="shared" si="4"/>
        <v>5' 8.9"</v>
      </c>
      <c r="N19">
        <f t="shared" si="5"/>
        <v>333</v>
      </c>
      <c r="O19">
        <f t="shared" si="6"/>
        <v>38</v>
      </c>
      <c r="P19">
        <f t="shared" si="6"/>
        <v>27</v>
      </c>
      <c r="Q19">
        <f t="shared" si="6"/>
        <v>11</v>
      </c>
    </row>
    <row r="20" spans="1:17">
      <c r="A20" s="1" t="s">
        <v>111</v>
      </c>
      <c r="B20" s="1"/>
      <c r="C20" s="1" t="s">
        <v>140</v>
      </c>
      <c r="D20" s="1" t="s">
        <v>139</v>
      </c>
      <c r="E20" s="1">
        <f>_xlfn.XLOOKUP(D20,'rank lookup'!$A$1:$A$21,'rank lookup'!$B$1:$B$21,,0)</f>
        <v>8</v>
      </c>
      <c r="F20" s="1"/>
      <c r="G20" s="19">
        <v>182</v>
      </c>
      <c r="H20" s="19">
        <v>141</v>
      </c>
      <c r="I20" s="5">
        <f t="shared" si="0"/>
        <v>42.567322787103002</v>
      </c>
      <c r="J20" s="4">
        <f t="shared" si="1"/>
        <v>71.653543307086608</v>
      </c>
      <c r="K20">
        <f t="shared" si="2"/>
        <v>5</v>
      </c>
      <c r="L20">
        <f t="shared" si="3"/>
        <v>11.7</v>
      </c>
      <c r="M20" t="str">
        <f t="shared" si="4"/>
        <v>5' 11.7"</v>
      </c>
      <c r="N20">
        <f t="shared" si="5"/>
        <v>311</v>
      </c>
      <c r="O20">
        <f t="shared" si="6"/>
        <v>30</v>
      </c>
      <c r="P20">
        <f t="shared" si="6"/>
        <v>32</v>
      </c>
      <c r="Q20">
        <f t="shared" si="6"/>
        <v>32</v>
      </c>
    </row>
    <row r="21" spans="1:17">
      <c r="A21" s="1" t="s">
        <v>100</v>
      </c>
      <c r="B21" s="1"/>
      <c r="C21" s="1" t="s">
        <v>141</v>
      </c>
      <c r="D21" s="1" t="s">
        <v>139</v>
      </c>
      <c r="E21" s="1">
        <f>_xlfn.XLOOKUP(D21,'rank lookup'!$A$1:$A$21,'rank lookup'!$B$1:$B$21,,0)</f>
        <v>8</v>
      </c>
      <c r="F21" s="1"/>
      <c r="G21" s="19">
        <v>186</v>
      </c>
      <c r="H21" s="19">
        <v>135</v>
      </c>
      <c r="I21" s="5">
        <f t="shared" si="0"/>
        <v>39.021852237252858</v>
      </c>
      <c r="J21" s="4">
        <f t="shared" si="1"/>
        <v>73.228346456692918</v>
      </c>
      <c r="K21">
        <f t="shared" si="2"/>
        <v>6</v>
      </c>
      <c r="L21">
        <f t="shared" si="3"/>
        <v>1.2</v>
      </c>
      <c r="M21" t="str">
        <f t="shared" si="4"/>
        <v>6' 1.2"</v>
      </c>
      <c r="N21">
        <f t="shared" si="5"/>
        <v>298</v>
      </c>
      <c r="O21">
        <f t="shared" si="6"/>
        <v>16</v>
      </c>
      <c r="P21">
        <f t="shared" si="6"/>
        <v>35</v>
      </c>
      <c r="Q21">
        <f t="shared" si="6"/>
        <v>40</v>
      </c>
    </row>
    <row r="22" spans="1:17">
      <c r="A22" s="1" t="s">
        <v>103</v>
      </c>
      <c r="B22" s="1"/>
      <c r="C22" s="1" t="s">
        <v>142</v>
      </c>
      <c r="D22" s="1" t="s">
        <v>140</v>
      </c>
      <c r="E22" s="1">
        <f>_xlfn.XLOOKUP(D22,'rank lookup'!$A$1:$A$21,'rank lookup'!$B$1:$B$21,,0)</f>
        <v>9</v>
      </c>
      <c r="F22" s="1"/>
      <c r="G22" s="19">
        <v>184</v>
      </c>
      <c r="H22" s="19">
        <v>161</v>
      </c>
      <c r="I22" s="5">
        <f t="shared" si="0"/>
        <v>47.554347826086961</v>
      </c>
      <c r="J22" s="4">
        <f t="shared" si="1"/>
        <v>72.440944881889763</v>
      </c>
      <c r="K22">
        <f t="shared" si="2"/>
        <v>6</v>
      </c>
      <c r="L22">
        <f t="shared" si="3"/>
        <v>0.4</v>
      </c>
      <c r="M22" t="str">
        <f t="shared" si="4"/>
        <v>6' 0.4"</v>
      </c>
      <c r="N22">
        <f t="shared" si="5"/>
        <v>355</v>
      </c>
      <c r="O22">
        <f t="shared" si="6"/>
        <v>22</v>
      </c>
      <c r="P22">
        <f t="shared" si="6"/>
        <v>18</v>
      </c>
      <c r="Q22">
        <f t="shared" si="6"/>
        <v>19</v>
      </c>
    </row>
    <row r="23" spans="1:17">
      <c r="A23" t="s">
        <v>144</v>
      </c>
      <c r="C23" s="1" t="s">
        <v>145</v>
      </c>
      <c r="D23" s="1" t="s">
        <v>140</v>
      </c>
      <c r="E23" s="1">
        <f>_xlfn.XLOOKUP(D23,'rank lookup'!$A$1:$A$21,'rank lookup'!$B$1:$B$21,,0)</f>
        <v>9</v>
      </c>
      <c r="F23" s="1"/>
      <c r="G23" s="19">
        <v>184</v>
      </c>
      <c r="H23" s="19">
        <v>148</v>
      </c>
      <c r="I23" s="5">
        <f t="shared" si="0"/>
        <v>43.714555765595463</v>
      </c>
      <c r="J23" s="4">
        <f t="shared" si="1"/>
        <v>72.440944881889763</v>
      </c>
      <c r="K23">
        <f t="shared" si="2"/>
        <v>6</v>
      </c>
      <c r="L23">
        <f t="shared" si="3"/>
        <v>0.4</v>
      </c>
      <c r="M23" t="str">
        <f t="shared" si="4"/>
        <v>6' 0.4"</v>
      </c>
      <c r="N23">
        <f t="shared" si="5"/>
        <v>326</v>
      </c>
      <c r="O23">
        <f t="shared" si="6"/>
        <v>22</v>
      </c>
      <c r="P23">
        <f t="shared" si="6"/>
        <v>30</v>
      </c>
      <c r="Q23">
        <f t="shared" si="6"/>
        <v>26</v>
      </c>
    </row>
    <row r="24" spans="1:17">
      <c r="A24" s="1" t="s">
        <v>138</v>
      </c>
      <c r="C24" s="1" t="s">
        <v>139</v>
      </c>
      <c r="D24" s="1" t="s">
        <v>141</v>
      </c>
      <c r="E24" s="1">
        <f>_xlfn.XLOOKUP(D24,'rank lookup'!$A$1:$A$21,'rank lookup'!$B$1:$B$21,,0)</f>
        <v>10</v>
      </c>
      <c r="F24" s="1"/>
      <c r="G24" s="19">
        <v>184</v>
      </c>
      <c r="H24" s="19">
        <v>170</v>
      </c>
      <c r="I24" s="5">
        <f t="shared" si="0"/>
        <v>50.21266540642722</v>
      </c>
      <c r="J24" s="4">
        <f t="shared" si="1"/>
        <v>72.440944881889763</v>
      </c>
      <c r="K24">
        <f t="shared" si="2"/>
        <v>6</v>
      </c>
      <c r="L24">
        <f t="shared" si="3"/>
        <v>0.4</v>
      </c>
      <c r="M24" t="str">
        <f t="shared" si="4"/>
        <v>6' 0.4"</v>
      </c>
      <c r="N24">
        <f t="shared" si="5"/>
        <v>375</v>
      </c>
      <c r="O24">
        <f t="shared" si="6"/>
        <v>22</v>
      </c>
      <c r="P24">
        <f t="shared" si="6"/>
        <v>11</v>
      </c>
      <c r="Q24">
        <f t="shared" si="6"/>
        <v>9</v>
      </c>
    </row>
    <row r="25" spans="1:17">
      <c r="A25" t="s">
        <v>149</v>
      </c>
      <c r="C25" s="1" t="s">
        <v>148</v>
      </c>
      <c r="D25" s="1" t="s">
        <v>141</v>
      </c>
      <c r="E25" s="1">
        <f>_xlfn.XLOOKUP(D25,'rank lookup'!$A$1:$A$21,'rank lookup'!$B$1:$B$21,,0)</f>
        <v>10</v>
      </c>
      <c r="F25" s="1"/>
      <c r="G25" s="20">
        <v>187</v>
      </c>
      <c r="H25" s="19">
        <v>154</v>
      </c>
      <c r="I25" s="5">
        <f t="shared" si="0"/>
        <v>44.039005976722237</v>
      </c>
      <c r="J25" s="4">
        <f t="shared" si="1"/>
        <v>73.622047244094489</v>
      </c>
      <c r="K25">
        <f t="shared" si="2"/>
        <v>6</v>
      </c>
      <c r="L25">
        <f t="shared" si="3"/>
        <v>1.6</v>
      </c>
      <c r="M25" t="str">
        <f t="shared" si="4"/>
        <v>6' 1.6"</v>
      </c>
      <c r="N25">
        <f t="shared" si="5"/>
        <v>340</v>
      </c>
      <c r="O25">
        <f t="shared" si="6"/>
        <v>13</v>
      </c>
      <c r="P25">
        <f t="shared" si="6"/>
        <v>24</v>
      </c>
      <c r="Q25">
        <f t="shared" si="6"/>
        <v>24</v>
      </c>
    </row>
    <row r="26" spans="1:17">
      <c r="A26" s="1" t="s">
        <v>99</v>
      </c>
      <c r="B26" s="1"/>
      <c r="C26" s="1" t="s">
        <v>141</v>
      </c>
      <c r="D26" s="1" t="s">
        <v>135</v>
      </c>
      <c r="E26" s="1">
        <f>_xlfn.XLOOKUP(D26,'rank lookup'!$A$1:$A$21,'rank lookup'!$B$1:$B$21,,0)</f>
        <v>11</v>
      </c>
      <c r="F26" s="1"/>
      <c r="G26" s="19">
        <v>183</v>
      </c>
      <c r="H26" s="19">
        <v>149</v>
      </c>
      <c r="I26" s="5">
        <f t="shared" si="0"/>
        <v>44.492221326405691</v>
      </c>
      <c r="J26" s="4">
        <f t="shared" si="1"/>
        <v>72.047244094488192</v>
      </c>
      <c r="K26">
        <f t="shared" si="2"/>
        <v>6</v>
      </c>
      <c r="L26">
        <f t="shared" si="3"/>
        <v>0</v>
      </c>
      <c r="M26" t="str">
        <f t="shared" si="4"/>
        <v>6' 0"</v>
      </c>
      <c r="N26">
        <f t="shared" si="5"/>
        <v>328</v>
      </c>
      <c r="O26">
        <f t="shared" si="6"/>
        <v>26</v>
      </c>
      <c r="P26">
        <f t="shared" si="6"/>
        <v>29</v>
      </c>
      <c r="Q26">
        <f t="shared" si="6"/>
        <v>22</v>
      </c>
    </row>
    <row r="27" spans="1:17">
      <c r="A27" s="1" t="s">
        <v>97</v>
      </c>
      <c r="B27" s="1"/>
      <c r="C27" s="1" t="s">
        <v>143</v>
      </c>
      <c r="D27" s="1" t="s">
        <v>135</v>
      </c>
      <c r="E27" s="1">
        <f>_xlfn.XLOOKUP(D27,'rank lookup'!$A$1:$A$21,'rank lookup'!$B$1:$B$21,,0)</f>
        <v>11</v>
      </c>
      <c r="F27" s="1"/>
      <c r="G27" s="19">
        <v>189</v>
      </c>
      <c r="H27" s="19">
        <v>154</v>
      </c>
      <c r="I27" s="5">
        <f t="shared" si="0"/>
        <v>43.111894963746821</v>
      </c>
      <c r="J27" s="4">
        <f t="shared" si="1"/>
        <v>74.409448818897644</v>
      </c>
      <c r="K27">
        <f t="shared" si="2"/>
        <v>6</v>
      </c>
      <c r="L27">
        <f t="shared" si="3"/>
        <v>2.4</v>
      </c>
      <c r="M27" t="str">
        <f t="shared" si="4"/>
        <v>6' 2.4"</v>
      </c>
      <c r="N27">
        <f t="shared" si="5"/>
        <v>340</v>
      </c>
      <c r="O27">
        <f t="shared" si="6"/>
        <v>7</v>
      </c>
      <c r="P27">
        <f t="shared" si="6"/>
        <v>24</v>
      </c>
      <c r="Q27">
        <f t="shared" si="6"/>
        <v>29</v>
      </c>
    </row>
    <row r="28" spans="1:17">
      <c r="A28" s="1" t="s">
        <v>104</v>
      </c>
      <c r="B28" s="1"/>
      <c r="C28" s="1" t="s">
        <v>140</v>
      </c>
      <c r="D28" s="1" t="s">
        <v>142</v>
      </c>
      <c r="E28" s="1">
        <f>_xlfn.XLOOKUP(D28,'rank lookup'!$A$1:$A$21,'rank lookup'!$B$1:$B$21,,0)</f>
        <v>12</v>
      </c>
      <c r="F28" s="1"/>
      <c r="G28" s="19">
        <v>186</v>
      </c>
      <c r="H28" s="19">
        <v>166</v>
      </c>
      <c r="I28" s="5">
        <f t="shared" si="0"/>
        <v>47.982425713955372</v>
      </c>
      <c r="J28" s="4">
        <f t="shared" si="1"/>
        <v>73.228346456692918</v>
      </c>
      <c r="K28">
        <f t="shared" si="2"/>
        <v>6</v>
      </c>
      <c r="L28">
        <f t="shared" si="3"/>
        <v>1.2</v>
      </c>
      <c r="M28" t="str">
        <f t="shared" si="4"/>
        <v>6' 1.2"</v>
      </c>
      <c r="N28">
        <f t="shared" si="5"/>
        <v>366</v>
      </c>
      <c r="O28">
        <f t="shared" si="6"/>
        <v>16</v>
      </c>
      <c r="P28">
        <f t="shared" si="6"/>
        <v>14</v>
      </c>
      <c r="Q28">
        <f t="shared" si="6"/>
        <v>18</v>
      </c>
    </row>
    <row r="29" spans="1:17">
      <c r="A29" s="1" t="s">
        <v>87</v>
      </c>
      <c r="B29" s="1">
        <v>1</v>
      </c>
      <c r="C29" s="1" t="s">
        <v>142</v>
      </c>
      <c r="D29" s="1" t="s">
        <v>142</v>
      </c>
      <c r="E29" s="1">
        <f>_xlfn.XLOOKUP(D29,'rank lookup'!$A$1:$A$21,'rank lookup'!$B$1:$B$21,,0)</f>
        <v>12</v>
      </c>
      <c r="F29" s="1"/>
      <c r="G29" s="19">
        <v>192</v>
      </c>
      <c r="H29" s="19">
        <v>179</v>
      </c>
      <c r="I29" s="5">
        <f t="shared" si="0"/>
        <v>48.556857638888893</v>
      </c>
      <c r="J29" s="4">
        <f t="shared" si="1"/>
        <v>75.59055118110237</v>
      </c>
      <c r="K29">
        <f t="shared" si="2"/>
        <v>6</v>
      </c>
      <c r="L29">
        <f t="shared" si="3"/>
        <v>3.6</v>
      </c>
      <c r="M29" t="str">
        <f t="shared" si="4"/>
        <v>6' 3.6"</v>
      </c>
      <c r="N29">
        <f t="shared" si="5"/>
        <v>395</v>
      </c>
      <c r="O29">
        <f t="shared" si="6"/>
        <v>2</v>
      </c>
      <c r="P29">
        <f t="shared" si="6"/>
        <v>6</v>
      </c>
      <c r="Q29">
        <f t="shared" si="6"/>
        <v>16</v>
      </c>
    </row>
    <row r="30" spans="1:17">
      <c r="A30" s="1" t="s">
        <v>93</v>
      </c>
      <c r="B30" s="1"/>
      <c r="C30" s="1" t="s">
        <v>42</v>
      </c>
      <c r="D30" s="1" t="s">
        <v>143</v>
      </c>
      <c r="E30" s="1">
        <f>_xlfn.XLOOKUP(D30,'rank lookup'!$A$1:$A$21,'rank lookup'!$B$1:$B$21,,0)</f>
        <v>13</v>
      </c>
      <c r="F30" s="1"/>
      <c r="G30" s="19">
        <v>187</v>
      </c>
      <c r="H30" s="19">
        <v>151</v>
      </c>
      <c r="I30" s="5">
        <f t="shared" si="0"/>
        <v>43.181103262889984</v>
      </c>
      <c r="J30" s="4">
        <f t="shared" si="1"/>
        <v>73.622047244094489</v>
      </c>
      <c r="K30">
        <f t="shared" si="2"/>
        <v>6</v>
      </c>
      <c r="L30">
        <f t="shared" si="3"/>
        <v>1.6</v>
      </c>
      <c r="M30" t="str">
        <f t="shared" si="4"/>
        <v>6' 1.6"</v>
      </c>
      <c r="N30">
        <f t="shared" si="5"/>
        <v>333</v>
      </c>
      <c r="O30">
        <f t="shared" si="6"/>
        <v>13</v>
      </c>
      <c r="P30">
        <f t="shared" si="6"/>
        <v>27</v>
      </c>
      <c r="Q30">
        <f t="shared" si="6"/>
        <v>28</v>
      </c>
    </row>
    <row r="31" spans="1:17">
      <c r="A31" s="1" t="s">
        <v>101</v>
      </c>
      <c r="B31" s="1"/>
      <c r="C31" s="1" t="s">
        <v>145</v>
      </c>
      <c r="D31" s="1" t="s">
        <v>143</v>
      </c>
      <c r="E31" s="1">
        <f>_xlfn.XLOOKUP(D31,'rank lookup'!$A$1:$A$21,'rank lookup'!$B$1:$B$21,,0)</f>
        <v>13</v>
      </c>
      <c r="F31" s="1"/>
      <c r="G31" s="19">
        <v>184</v>
      </c>
      <c r="H31" s="19">
        <v>167</v>
      </c>
      <c r="I31" s="5">
        <f t="shared" si="0"/>
        <v>49.326559546313803</v>
      </c>
      <c r="J31" s="4">
        <f t="shared" si="1"/>
        <v>72.440944881889763</v>
      </c>
      <c r="K31">
        <f t="shared" si="2"/>
        <v>6</v>
      </c>
      <c r="L31">
        <f t="shared" si="3"/>
        <v>0.4</v>
      </c>
      <c r="M31" t="str">
        <f t="shared" si="4"/>
        <v>6' 0.4"</v>
      </c>
      <c r="N31">
        <f t="shared" si="5"/>
        <v>368</v>
      </c>
      <c r="O31">
        <f t="shared" si="6"/>
        <v>22</v>
      </c>
      <c r="P31">
        <f t="shared" si="6"/>
        <v>12</v>
      </c>
      <c r="Q31">
        <f t="shared" si="6"/>
        <v>10</v>
      </c>
    </row>
    <row r="32" spans="1:17">
      <c r="A32" s="1" t="s">
        <v>91</v>
      </c>
      <c r="B32" s="1"/>
      <c r="C32" s="1" t="s">
        <v>135</v>
      </c>
      <c r="D32" s="1" t="s">
        <v>145</v>
      </c>
      <c r="E32" s="1">
        <f>_xlfn.XLOOKUP(D32,'rank lookup'!$A$1:$A$21,'rank lookup'!$B$1:$B$21,,0)</f>
        <v>14</v>
      </c>
      <c r="F32" s="1"/>
      <c r="G32" s="19">
        <v>190</v>
      </c>
      <c r="H32" s="19">
        <v>186</v>
      </c>
      <c r="I32" s="5">
        <f t="shared" si="0"/>
        <v>51.523545706371188</v>
      </c>
      <c r="J32" s="4">
        <f t="shared" si="1"/>
        <v>74.803149606299215</v>
      </c>
      <c r="K32">
        <f t="shared" si="2"/>
        <v>6</v>
      </c>
      <c r="L32">
        <f t="shared" si="3"/>
        <v>2.8</v>
      </c>
      <c r="M32" t="str">
        <f t="shared" si="4"/>
        <v>6' 2.8"</v>
      </c>
      <c r="N32">
        <f t="shared" si="5"/>
        <v>410</v>
      </c>
      <c r="O32">
        <f t="shared" si="6"/>
        <v>5</v>
      </c>
      <c r="P32">
        <f t="shared" si="6"/>
        <v>3</v>
      </c>
      <c r="Q32">
        <f t="shared" si="6"/>
        <v>7</v>
      </c>
    </row>
    <row r="33" spans="1:17">
      <c r="A33" s="1" t="s">
        <v>110</v>
      </c>
      <c r="B33" s="1"/>
      <c r="C33" s="1" t="s">
        <v>151</v>
      </c>
      <c r="D33" s="1" t="s">
        <v>145</v>
      </c>
      <c r="E33" s="1">
        <f>_xlfn.XLOOKUP(D33,'rank lookup'!$A$1:$A$21,'rank lookup'!$B$1:$B$21,,0)</f>
        <v>14</v>
      </c>
      <c r="F33" s="1"/>
      <c r="G33" s="19">
        <v>183</v>
      </c>
      <c r="H33" s="19">
        <v>135</v>
      </c>
      <c r="I33" s="5">
        <f t="shared" si="0"/>
        <v>40.311744154797097</v>
      </c>
      <c r="J33" s="4">
        <f t="shared" si="1"/>
        <v>72.047244094488192</v>
      </c>
      <c r="K33">
        <f t="shared" si="2"/>
        <v>6</v>
      </c>
      <c r="L33">
        <f t="shared" si="3"/>
        <v>0</v>
      </c>
      <c r="M33" t="str">
        <f t="shared" si="4"/>
        <v>6' 0"</v>
      </c>
      <c r="N33">
        <f t="shared" si="5"/>
        <v>298</v>
      </c>
      <c r="O33">
        <f t="shared" si="6"/>
        <v>26</v>
      </c>
      <c r="P33">
        <f t="shared" si="6"/>
        <v>35</v>
      </c>
      <c r="Q33">
        <f t="shared" si="6"/>
        <v>38</v>
      </c>
    </row>
    <row r="34" spans="1:17">
      <c r="A34" s="1" t="s">
        <v>120</v>
      </c>
      <c r="B34" s="1"/>
      <c r="C34" s="1" t="s">
        <v>135</v>
      </c>
      <c r="D34" s="1" t="s">
        <v>147</v>
      </c>
      <c r="E34" s="1">
        <f>_xlfn.XLOOKUP(D34,'rank lookup'!$A$1:$A$21,'rank lookup'!$B$1:$B$21,,0)</f>
        <v>15</v>
      </c>
      <c r="F34" s="1"/>
      <c r="G34" s="19">
        <v>178</v>
      </c>
      <c r="H34" s="19">
        <v>162</v>
      </c>
      <c r="I34" s="5">
        <f t="shared" si="0"/>
        <v>51.129907839919206</v>
      </c>
      <c r="J34" s="4">
        <f t="shared" si="1"/>
        <v>70.078740157480311</v>
      </c>
      <c r="K34">
        <f t="shared" si="2"/>
        <v>5</v>
      </c>
      <c r="L34">
        <f t="shared" si="3"/>
        <v>10.1</v>
      </c>
      <c r="M34" t="str">
        <f t="shared" si="4"/>
        <v>5' 10.1"</v>
      </c>
      <c r="N34">
        <f t="shared" si="5"/>
        <v>357</v>
      </c>
      <c r="O34">
        <f t="shared" si="6"/>
        <v>35</v>
      </c>
      <c r="P34">
        <f t="shared" si="6"/>
        <v>16</v>
      </c>
      <c r="Q34">
        <f t="shared" si="6"/>
        <v>8</v>
      </c>
    </row>
    <row r="35" spans="1:17">
      <c r="A35" t="s">
        <v>146</v>
      </c>
      <c r="C35" s="1" t="s">
        <v>147</v>
      </c>
      <c r="D35" s="1" t="s">
        <v>147</v>
      </c>
      <c r="E35" s="1">
        <f>_xlfn.XLOOKUP(D35,'rank lookup'!$A$1:$A$21,'rank lookup'!$B$1:$B$21,,0)</f>
        <v>15</v>
      </c>
      <c r="F35" s="1"/>
      <c r="G35" s="19">
        <v>189</v>
      </c>
      <c r="H35" s="19">
        <v>158</v>
      </c>
      <c r="I35" s="5">
        <f t="shared" si="0"/>
        <v>44.23168444332466</v>
      </c>
      <c r="J35" s="4">
        <f t="shared" si="1"/>
        <v>74.409448818897644</v>
      </c>
      <c r="K35">
        <f t="shared" si="2"/>
        <v>6</v>
      </c>
      <c r="L35">
        <f t="shared" si="3"/>
        <v>2.4</v>
      </c>
      <c r="M35" t="str">
        <f t="shared" si="4"/>
        <v>6' 2.4"</v>
      </c>
      <c r="N35">
        <f t="shared" si="5"/>
        <v>348</v>
      </c>
      <c r="O35">
        <f t="shared" si="6"/>
        <v>7</v>
      </c>
      <c r="P35">
        <f t="shared" si="6"/>
        <v>20</v>
      </c>
      <c r="Q35">
        <f t="shared" si="6"/>
        <v>23</v>
      </c>
    </row>
    <row r="36" spans="1:17">
      <c r="A36" s="1" t="s">
        <v>122</v>
      </c>
      <c r="B36" s="1"/>
      <c r="C36" s="1" t="s">
        <v>143</v>
      </c>
      <c r="D36" s="1" t="s">
        <v>148</v>
      </c>
      <c r="E36" s="1">
        <f>_xlfn.XLOOKUP(D36,'rank lookup'!$A$1:$A$21,'rank lookup'!$B$1:$B$21,,0)</f>
        <v>16</v>
      </c>
      <c r="F36" s="1"/>
      <c r="G36" s="19">
        <v>176</v>
      </c>
      <c r="H36" s="19">
        <v>131</v>
      </c>
      <c r="I36" s="5">
        <f t="shared" si="0"/>
        <v>42.290805785123965</v>
      </c>
      <c r="J36" s="4">
        <f t="shared" si="1"/>
        <v>69.29133858267717</v>
      </c>
      <c r="K36">
        <f t="shared" si="2"/>
        <v>5</v>
      </c>
      <c r="L36">
        <f t="shared" si="3"/>
        <v>9.3000000000000007</v>
      </c>
      <c r="M36" t="str">
        <f t="shared" si="4"/>
        <v>5' 9.3"</v>
      </c>
      <c r="N36">
        <f t="shared" si="5"/>
        <v>289</v>
      </c>
      <c r="O36">
        <f t="shared" si="6"/>
        <v>37</v>
      </c>
      <c r="P36">
        <f t="shared" si="6"/>
        <v>40</v>
      </c>
      <c r="Q36">
        <f t="shared" si="6"/>
        <v>33</v>
      </c>
    </row>
    <row r="37" spans="1:17">
      <c r="A37" s="1" t="s">
        <v>113</v>
      </c>
      <c r="B37" s="1"/>
      <c r="C37" s="1" t="s">
        <v>147</v>
      </c>
      <c r="D37" s="1" t="s">
        <v>148</v>
      </c>
      <c r="E37" s="1">
        <f>_xlfn.XLOOKUP(D37,'rank lookup'!$A$1:$A$21,'rank lookup'!$B$1:$B$21,,0)</f>
        <v>16</v>
      </c>
      <c r="F37" s="1"/>
      <c r="G37" s="19">
        <v>181</v>
      </c>
      <c r="H37" s="19">
        <v>189</v>
      </c>
      <c r="I37" s="5">
        <f t="shared" si="0"/>
        <v>57.690546686609082</v>
      </c>
      <c r="J37" s="4">
        <f t="shared" si="1"/>
        <v>71.259842519685037</v>
      </c>
      <c r="K37">
        <f t="shared" si="2"/>
        <v>5</v>
      </c>
      <c r="L37">
        <f t="shared" si="3"/>
        <v>11.3</v>
      </c>
      <c r="M37" t="str">
        <f t="shared" si="4"/>
        <v>5' 11.3"</v>
      </c>
      <c r="N37">
        <f t="shared" si="5"/>
        <v>417</v>
      </c>
      <c r="O37">
        <f t="shared" si="6"/>
        <v>32</v>
      </c>
      <c r="P37">
        <f t="shared" si="6"/>
        <v>2</v>
      </c>
      <c r="Q37">
        <f t="shared" si="6"/>
        <v>2</v>
      </c>
    </row>
    <row r="38" spans="1:17">
      <c r="A38" s="1" t="s">
        <v>90</v>
      </c>
      <c r="B38" s="1"/>
      <c r="C38" s="1" t="s">
        <v>148</v>
      </c>
      <c r="D38" s="1" t="s">
        <v>150</v>
      </c>
      <c r="E38" s="1">
        <f>_xlfn.XLOOKUP(D38,'rank lookup'!$A$1:$A$21,'rank lookup'!$B$1:$B$21,,0)</f>
        <v>17</v>
      </c>
      <c r="F38" s="1"/>
      <c r="G38" s="19">
        <v>189</v>
      </c>
      <c r="H38" s="19">
        <v>156</v>
      </c>
      <c r="I38" s="5">
        <f t="shared" si="0"/>
        <v>43.671789703535737</v>
      </c>
      <c r="J38" s="4">
        <f t="shared" si="1"/>
        <v>74.409448818897644</v>
      </c>
      <c r="K38">
        <f t="shared" si="2"/>
        <v>6</v>
      </c>
      <c r="L38">
        <f t="shared" si="3"/>
        <v>2.4</v>
      </c>
      <c r="M38" t="str">
        <f t="shared" si="4"/>
        <v>6' 2.4"</v>
      </c>
      <c r="N38">
        <f t="shared" si="5"/>
        <v>344</v>
      </c>
      <c r="O38">
        <f t="shared" si="6"/>
        <v>7</v>
      </c>
      <c r="P38">
        <f t="shared" si="6"/>
        <v>22</v>
      </c>
      <c r="Q38">
        <f t="shared" si="6"/>
        <v>27</v>
      </c>
    </row>
    <row r="39" spans="1:17">
      <c r="A39" s="1" t="s">
        <v>88</v>
      </c>
      <c r="B39" s="1"/>
      <c r="C39" s="1" t="s">
        <v>150</v>
      </c>
      <c r="D39" s="1" t="s">
        <v>150</v>
      </c>
      <c r="E39" s="1">
        <f>_xlfn.XLOOKUP(D39,'rank lookup'!$A$1:$A$21,'rank lookup'!$B$1:$B$21,,0)</f>
        <v>17</v>
      </c>
      <c r="F39" s="1"/>
      <c r="G39" s="19">
        <v>189</v>
      </c>
      <c r="H39" s="19">
        <v>176</v>
      </c>
      <c r="I39" s="5">
        <f t="shared" si="0"/>
        <v>49.270737101424935</v>
      </c>
      <c r="J39" s="4">
        <f t="shared" si="1"/>
        <v>74.409448818897644</v>
      </c>
      <c r="K39">
        <f t="shared" si="2"/>
        <v>6</v>
      </c>
      <c r="L39">
        <f t="shared" si="3"/>
        <v>2.4</v>
      </c>
      <c r="M39" t="str">
        <f t="shared" si="4"/>
        <v>6' 2.4"</v>
      </c>
      <c r="N39">
        <f t="shared" si="5"/>
        <v>388</v>
      </c>
      <c r="O39">
        <f t="shared" si="6"/>
        <v>7</v>
      </c>
      <c r="P39">
        <f t="shared" si="6"/>
        <v>8</v>
      </c>
      <c r="Q39">
        <f t="shared" si="6"/>
        <v>12</v>
      </c>
    </row>
    <row r="40" spans="1:17">
      <c r="A40" s="1" t="s">
        <v>98</v>
      </c>
      <c r="B40" s="1"/>
      <c r="C40" s="1" t="s">
        <v>150</v>
      </c>
      <c r="D40" s="1" t="s">
        <v>151</v>
      </c>
      <c r="E40" s="1">
        <f>_xlfn.XLOOKUP(D40,'rank lookup'!$A$1:$A$21,'rank lookup'!$B$1:$B$21,,0)</f>
        <v>18</v>
      </c>
      <c r="F40" s="1"/>
      <c r="G40" s="19">
        <v>187</v>
      </c>
      <c r="H40" s="19">
        <v>145</v>
      </c>
      <c r="I40" s="5">
        <f t="shared" si="0"/>
        <v>41.465297835225485</v>
      </c>
      <c r="J40" s="4">
        <f t="shared" si="1"/>
        <v>73.622047244094489</v>
      </c>
      <c r="K40">
        <f t="shared" si="2"/>
        <v>6</v>
      </c>
      <c r="L40">
        <f t="shared" si="3"/>
        <v>1.6</v>
      </c>
      <c r="M40" t="str">
        <f t="shared" si="4"/>
        <v>6' 1.6"</v>
      </c>
      <c r="N40">
        <f t="shared" si="5"/>
        <v>320</v>
      </c>
      <c r="O40">
        <f t="shared" si="6"/>
        <v>13</v>
      </c>
      <c r="P40">
        <f t="shared" si="6"/>
        <v>31</v>
      </c>
      <c r="Q40">
        <f t="shared" si="6"/>
        <v>35</v>
      </c>
    </row>
    <row r="41" spans="1:17">
      <c r="A41" s="1" t="s">
        <v>166</v>
      </c>
      <c r="D41" t="s">
        <v>151</v>
      </c>
      <c r="E41" s="1">
        <f>_xlfn.XLOOKUP(D41,'rank lookup'!$A$1:$A$21,'rank lookup'!$B$1:$B$21,,0)</f>
        <v>18</v>
      </c>
      <c r="G41" s="19">
        <v>191</v>
      </c>
      <c r="H41" s="19">
        <v>157</v>
      </c>
      <c r="I41" s="5">
        <f t="shared" si="0"/>
        <v>43.036100984073904</v>
      </c>
      <c r="J41" s="4">
        <f t="shared" si="1"/>
        <v>75.196850393700785</v>
      </c>
      <c r="K41">
        <f t="shared" si="2"/>
        <v>6</v>
      </c>
      <c r="L41">
        <f t="shared" si="3"/>
        <v>3.2</v>
      </c>
      <c r="M41" t="str">
        <f t="shared" si="4"/>
        <v>6' 3.2"</v>
      </c>
      <c r="N41">
        <f t="shared" si="5"/>
        <v>346</v>
      </c>
      <c r="O41">
        <f t="shared" si="6"/>
        <v>4</v>
      </c>
      <c r="P41">
        <f t="shared" si="6"/>
        <v>21</v>
      </c>
      <c r="Q41">
        <f t="shared" si="6"/>
        <v>30</v>
      </c>
    </row>
    <row r="42" spans="1:17">
      <c r="A42" s="1" t="s">
        <v>167</v>
      </c>
      <c r="D42" t="s">
        <v>152</v>
      </c>
      <c r="E42" s="1">
        <f>_xlfn.XLOOKUP(D42,'rank lookup'!$A$1:$A$21,'rank lookup'!$B$1:$B$21,,0)</f>
        <v>19</v>
      </c>
      <c r="G42" s="19">
        <v>193</v>
      </c>
      <c r="H42" s="19">
        <v>155</v>
      </c>
      <c r="I42" s="5">
        <f t="shared" ref="I42:I43" si="7">H42/(G42*G42)*10000</f>
        <v>41.611855351821525</v>
      </c>
      <c r="J42" s="4">
        <f t="shared" ref="J42:J43" si="8">CONVERT(G42,"cm","in")</f>
        <v>75.984251968503941</v>
      </c>
      <c r="K42">
        <f t="shared" ref="K42:K43" si="9">_xlfn.FLOOR.MATH(J42/12)</f>
        <v>6</v>
      </c>
      <c r="L42">
        <f t="shared" ref="L42:L43" si="10">ROUND(J42-K42*12,1)</f>
        <v>4</v>
      </c>
      <c r="M42" t="str">
        <f t="shared" ref="M42:M43" si="11">K42&amp;"' "&amp;L42&amp;""""</f>
        <v>6' 4"</v>
      </c>
      <c r="N42">
        <f t="shared" ref="N42:N43" si="12">ROUND(CONVERT(H42,"kg","lbm"),0)</f>
        <v>342</v>
      </c>
      <c r="O42">
        <f t="shared" si="6"/>
        <v>1</v>
      </c>
      <c r="P42">
        <f t="shared" si="6"/>
        <v>23</v>
      </c>
      <c r="Q42">
        <f t="shared" si="6"/>
        <v>34</v>
      </c>
    </row>
    <row r="43" spans="1:17">
      <c r="A43" s="1" t="s">
        <v>168</v>
      </c>
      <c r="D43" t="s">
        <v>152</v>
      </c>
      <c r="E43" s="1">
        <f>_xlfn.XLOOKUP(D43,'rank lookup'!$A$1:$A$21,'rank lookup'!$B$1:$B$21,,0)</f>
        <v>19</v>
      </c>
      <c r="G43" s="19">
        <v>185</v>
      </c>
      <c r="H43" s="19">
        <v>177</v>
      </c>
      <c r="I43" s="5">
        <f t="shared" si="7"/>
        <v>51.716581446311181</v>
      </c>
      <c r="J43" s="4">
        <f t="shared" si="8"/>
        <v>72.834645669291348</v>
      </c>
      <c r="K43">
        <f t="shared" si="9"/>
        <v>6</v>
      </c>
      <c r="L43">
        <f t="shared" si="10"/>
        <v>0.8</v>
      </c>
      <c r="M43" t="str">
        <f t="shared" si="11"/>
        <v>6' 0.8"</v>
      </c>
      <c r="N43">
        <f t="shared" si="12"/>
        <v>390</v>
      </c>
      <c r="O43">
        <f t="shared" si="6"/>
        <v>19</v>
      </c>
      <c r="P43">
        <f t="shared" si="6"/>
        <v>7</v>
      </c>
      <c r="Q43">
        <f t="shared" si="6"/>
        <v>6</v>
      </c>
    </row>
    <row r="44" spans="1:17">
      <c r="A44" s="1" t="s">
        <v>126</v>
      </c>
      <c r="B44" s="1"/>
      <c r="C44" s="1" t="s">
        <v>152</v>
      </c>
      <c r="D44" s="1" t="s">
        <v>154</v>
      </c>
      <c r="E44" s="1">
        <f>_xlfn.XLOOKUP(D44,'rank lookup'!$A$1:$A$21,'rank lookup'!$B$1:$B$21,,0)</f>
        <v>20</v>
      </c>
      <c r="F44" s="1"/>
      <c r="G44" s="19">
        <v>169</v>
      </c>
      <c r="H44" s="19">
        <v>107</v>
      </c>
      <c r="I44" s="5">
        <f>H44/(G44*G44)*10000</f>
        <v>37.463674241098005</v>
      </c>
      <c r="J44" s="4">
        <f>CONVERT(G44,"cm","in")</f>
        <v>66.535433070866134</v>
      </c>
      <c r="K44">
        <f>_xlfn.FLOOR.MATH(J44/12)</f>
        <v>5</v>
      </c>
      <c r="L44">
        <f>ROUND(J44-K44*12,1)</f>
        <v>6.5</v>
      </c>
      <c r="M44" t="str">
        <f>K44&amp;"' "&amp;L44&amp;""""</f>
        <v>5' 6.5"</v>
      </c>
      <c r="N44">
        <f>ROUND(CONVERT(H44,"kg","lbm"),0)</f>
        <v>236</v>
      </c>
      <c r="O44">
        <f t="shared" si="6"/>
        <v>42</v>
      </c>
      <c r="P44">
        <f t="shared" si="6"/>
        <v>42</v>
      </c>
      <c r="Q44">
        <f t="shared" si="6"/>
        <v>42</v>
      </c>
    </row>
    <row r="45" spans="1:17">
      <c r="A45" t="s">
        <v>155</v>
      </c>
      <c r="C45" s="1" t="s">
        <v>154</v>
      </c>
      <c r="D45" s="1" t="s">
        <v>154</v>
      </c>
      <c r="E45" s="1">
        <f>_xlfn.XLOOKUP(D45,'rank lookup'!$A$1:$A$21,'rank lookup'!$B$1:$B$21,,0)</f>
        <v>20</v>
      </c>
      <c r="F45" s="1"/>
      <c r="G45" s="19">
        <v>178</v>
      </c>
      <c r="H45" s="19">
        <v>135</v>
      </c>
      <c r="I45" s="5">
        <f>H45/(G45*G45)*10000</f>
        <v>42.608256533266008</v>
      </c>
      <c r="J45" s="4">
        <f>CONVERT(G45,"cm","in")</f>
        <v>70.078740157480311</v>
      </c>
      <c r="K45">
        <f>_xlfn.FLOOR.MATH(J45/12)</f>
        <v>5</v>
      </c>
      <c r="L45">
        <f>ROUND(J45-K45*12,1)</f>
        <v>10.1</v>
      </c>
      <c r="M45" t="str">
        <f>K45&amp;"' "&amp;L45&amp;""""</f>
        <v>5' 10.1"</v>
      </c>
      <c r="N45">
        <f>ROUND(CONVERT(H45,"kg","lbm"),0)</f>
        <v>298</v>
      </c>
      <c r="O45">
        <f t="shared" si="6"/>
        <v>35</v>
      </c>
      <c r="P45">
        <f t="shared" si="6"/>
        <v>35</v>
      </c>
      <c r="Q45">
        <f t="shared" si="6"/>
        <v>31</v>
      </c>
    </row>
    <row r="46" spans="1:17">
      <c r="A46" s="1" t="s">
        <v>108</v>
      </c>
      <c r="B46" s="1"/>
      <c r="C46" s="1" t="s">
        <v>152</v>
      </c>
      <c r="D46" s="1" t="s">
        <v>170</v>
      </c>
      <c r="E46" s="1" t="e">
        <f>_xlfn.XLOOKUP(D46,'rank lookup'!$A$1:$A$21,'rank lookup'!$B$1:$B$21,,0)</f>
        <v>#N/A</v>
      </c>
      <c r="F46" s="1"/>
      <c r="G46" s="19">
        <v>184</v>
      </c>
      <c r="H46" s="19">
        <v>200</v>
      </c>
      <c r="I46" s="5">
        <f>H46/(G46*G46)*10000</f>
        <v>59.073724007561438</v>
      </c>
      <c r="J46" s="4">
        <f>CONVERT(G46,"cm","in")</f>
        <v>72.440944881889763</v>
      </c>
      <c r="K46">
        <f>_xlfn.FLOOR.MATH(J46/12)</f>
        <v>6</v>
      </c>
      <c r="L46">
        <f>ROUND(J46-K46*12,1)</f>
        <v>0.4</v>
      </c>
      <c r="M46" t="str">
        <f>K46&amp;"' "&amp;L46&amp;""""</f>
        <v>6' 0.4"</v>
      </c>
      <c r="N46">
        <f>ROUND(CONVERT(H46,"kg","lbm"),0)</f>
        <v>441</v>
      </c>
    </row>
    <row r="47" spans="1:17">
      <c r="A47" t="s">
        <v>153</v>
      </c>
      <c r="C47" s="1" t="s">
        <v>154</v>
      </c>
      <c r="D47" s="1" t="s">
        <v>170</v>
      </c>
      <c r="E47" s="1" t="e">
        <f>_xlfn.XLOOKUP(D47,'rank lookup'!$A$1:$A$21,'rank lookup'!$B$1:$B$21,,0)</f>
        <v>#N/A</v>
      </c>
      <c r="F47" s="1"/>
      <c r="G47" s="19">
        <v>190</v>
      </c>
      <c r="H47" s="19">
        <v>197</v>
      </c>
      <c r="I47" s="5">
        <f>H47/(G47*G47)*10000</f>
        <v>54.57063711911357</v>
      </c>
      <c r="J47" s="4">
        <f>CONVERT(G47,"cm","in")</f>
        <v>74.803149606299215</v>
      </c>
      <c r="K47">
        <f>_xlfn.FLOOR.MATH(J47/12)</f>
        <v>6</v>
      </c>
      <c r="L47">
        <f>ROUND(J47-K47*12,1)</f>
        <v>2.8</v>
      </c>
      <c r="M47" t="str">
        <f>K47&amp;"' "&amp;L47&amp;""""</f>
        <v>6' 2.8"</v>
      </c>
      <c r="N47">
        <f>ROUND(CONVERT(H47,"kg","lbm"),0)</f>
        <v>434</v>
      </c>
    </row>
    <row r="48" spans="1:17">
      <c r="A48" s="1" t="s">
        <v>107</v>
      </c>
      <c r="B48" s="1"/>
      <c r="C48" s="1" t="s">
        <v>151</v>
      </c>
      <c r="D48" s="1" t="s">
        <v>169</v>
      </c>
      <c r="E48" s="1" t="e">
        <f>_xlfn.XLOOKUP(D48,'rank lookup'!$A$1:$A$21,'rank lookup'!$B$1:$B$21,,0)</f>
        <v>#N/A</v>
      </c>
      <c r="F48" s="1"/>
      <c r="G48" s="19">
        <v>185</v>
      </c>
      <c r="H48" s="19">
        <v>181</v>
      </c>
      <c r="I48" s="5">
        <f>H48/(G48*G48)*10000</f>
        <v>52.885317750182615</v>
      </c>
      <c r="J48" s="4">
        <f>CONVERT(G48,"cm","in")</f>
        <v>72.834645669291348</v>
      </c>
      <c r="K48">
        <f>_xlfn.FLOOR.MATH(J48/12)</f>
        <v>6</v>
      </c>
      <c r="L48">
        <f>ROUND(J48-K48*12,1)</f>
        <v>0.8</v>
      </c>
      <c r="M48" t="str">
        <f>K48&amp;"' "&amp;L48&amp;""""</f>
        <v>6' 0.8"</v>
      </c>
      <c r="N48">
        <f>ROUND(CONVERT(H48,"kg","lbm"),0)</f>
        <v>399</v>
      </c>
    </row>
  </sheetData>
  <autoFilter ref="A3:N38" xr:uid="{7067DD38-AD06-4250-9520-A2F29B57D9C0}">
    <sortState xmlns:xlrd2="http://schemas.microsoft.com/office/spreadsheetml/2017/richdata2" ref="A4:N48">
      <sortCondition ref="E3:E38"/>
    </sortState>
  </autoFilter>
  <hyperlinks>
    <hyperlink ref="C2" r:id="rId1" xr:uid="{9E619F93-654C-496F-B4AE-BA5E3EB171CA}"/>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2F901-5000-4C2B-AE00-4BA96D54DB07}">
  <dimension ref="A1:B21"/>
  <sheetViews>
    <sheetView workbookViewId="0">
      <selection activeCell="B19" sqref="B19"/>
    </sheetView>
  </sheetViews>
  <sheetFormatPr defaultRowHeight="14.5"/>
  <sheetData>
    <row r="1" spans="1:2">
      <c r="A1" t="s" cm="1">
        <v>42</v>
      </c>
      <c r="B1">
        <v>4</v>
      </c>
    </row>
    <row r="2" spans="1:2">
      <c r="A2" t="s">
        <v>132</v>
      </c>
      <c r="B2" cm="1">
        <f t="array" ref="B2:B17">_xlfn.SEQUENCE(16,1,5)</f>
        <v>5</v>
      </c>
    </row>
    <row r="3" spans="1:2">
      <c r="A3" t="s">
        <v>136</v>
      </c>
      <c r="B3">
        <v>6</v>
      </c>
    </row>
    <row r="4" spans="1:2">
      <c r="A4" t="s">
        <v>137</v>
      </c>
      <c r="B4">
        <v>7</v>
      </c>
    </row>
    <row r="5" spans="1:2">
      <c r="A5" t="s">
        <v>139</v>
      </c>
      <c r="B5">
        <v>8</v>
      </c>
    </row>
    <row r="6" spans="1:2">
      <c r="A6" t="s">
        <v>140</v>
      </c>
      <c r="B6">
        <v>9</v>
      </c>
    </row>
    <row r="7" spans="1:2">
      <c r="A7" t="s">
        <v>141</v>
      </c>
      <c r="B7">
        <v>10</v>
      </c>
    </row>
    <row r="8" spans="1:2">
      <c r="A8" t="s">
        <v>135</v>
      </c>
      <c r="B8">
        <v>11</v>
      </c>
    </row>
    <row r="9" spans="1:2">
      <c r="A9" t="s">
        <v>142</v>
      </c>
      <c r="B9">
        <v>12</v>
      </c>
    </row>
    <row r="10" spans="1:2">
      <c r="A10" t="s">
        <v>143</v>
      </c>
      <c r="B10">
        <v>13</v>
      </c>
    </row>
    <row r="11" spans="1:2">
      <c r="A11" t="s">
        <v>145</v>
      </c>
      <c r="B11">
        <v>14</v>
      </c>
    </row>
    <row r="12" spans="1:2">
      <c r="A12" t="s">
        <v>147</v>
      </c>
      <c r="B12">
        <v>15</v>
      </c>
    </row>
    <row r="13" spans="1:2">
      <c r="A13" t="s">
        <v>148</v>
      </c>
      <c r="B13">
        <v>16</v>
      </c>
    </row>
    <row r="14" spans="1:2">
      <c r="A14" t="s">
        <v>150</v>
      </c>
      <c r="B14">
        <v>17</v>
      </c>
    </row>
    <row r="15" spans="1:2">
      <c r="A15" t="s">
        <v>151</v>
      </c>
      <c r="B15">
        <v>18</v>
      </c>
    </row>
    <row r="16" spans="1:2">
      <c r="A16" t="s">
        <v>152</v>
      </c>
      <c r="B16">
        <v>19</v>
      </c>
    </row>
    <row r="17" spans="1:2">
      <c r="A17" t="s">
        <v>154</v>
      </c>
      <c r="B17">
        <v>20</v>
      </c>
    </row>
    <row r="18" spans="1:2">
      <c r="A18" t="s">
        <v>186</v>
      </c>
      <c r="B18">
        <v>21</v>
      </c>
    </row>
    <row r="19" spans="1:2">
      <c r="A19" t="s">
        <v>39</v>
      </c>
      <c r="B19">
        <v>2</v>
      </c>
    </row>
    <row r="20" spans="1:2">
      <c r="A20" t="s">
        <v>31</v>
      </c>
      <c r="B20">
        <v>3</v>
      </c>
    </row>
    <row r="21" spans="1:2">
      <c r="A21" t="s">
        <v>14</v>
      </c>
      <c r="B21">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A925F-9B6D-46E4-ABB5-54DF9881E168}">
  <sheetPr codeName="Sheet6"/>
  <dimension ref="A2:AG44"/>
  <sheetViews>
    <sheetView workbookViewId="0">
      <selection activeCell="K5" sqref="K5"/>
    </sheetView>
  </sheetViews>
  <sheetFormatPr defaultRowHeight="14.5"/>
  <cols>
    <col min="1" max="3" width="21.1796875" customWidth="1"/>
    <col min="6" max="6" width="11.26953125" bestFit="1" customWidth="1"/>
    <col min="7" max="7" width="9" style="4"/>
    <col min="12" max="13" width="9"/>
    <col min="15" max="33" width="9"/>
  </cols>
  <sheetData>
    <row r="2" spans="1:33">
      <c r="A2" t="s">
        <v>3</v>
      </c>
      <c r="B2" t="s">
        <v>11</v>
      </c>
      <c r="C2" t="s">
        <v>12</v>
      </c>
      <c r="D2" t="s">
        <v>5</v>
      </c>
      <c r="E2" t="s">
        <v>4</v>
      </c>
      <c r="F2" t="s">
        <v>26</v>
      </c>
      <c r="G2" s="4" t="s">
        <v>6</v>
      </c>
      <c r="H2" t="s">
        <v>7</v>
      </c>
      <c r="I2" t="s">
        <v>8</v>
      </c>
      <c r="J2" t="s">
        <v>9</v>
      </c>
      <c r="K2" t="s">
        <v>10</v>
      </c>
      <c r="M2" s="15" t="s">
        <v>52</v>
      </c>
      <c r="O2" t="s">
        <v>53</v>
      </c>
      <c r="P2">
        <v>1</v>
      </c>
      <c r="Q2">
        <f>P2+1</f>
        <v>2</v>
      </c>
      <c r="R2">
        <f t="shared" ref="R2:U2" si="0">Q2+1</f>
        <v>3</v>
      </c>
      <c r="S2">
        <f t="shared" si="0"/>
        <v>4</v>
      </c>
      <c r="T2">
        <f t="shared" si="0"/>
        <v>5</v>
      </c>
      <c r="U2">
        <f t="shared" si="0"/>
        <v>6</v>
      </c>
      <c r="W2">
        <v>1</v>
      </c>
      <c r="X2">
        <f>W2+1</f>
        <v>2</v>
      </c>
      <c r="Y2">
        <f t="shared" ref="Y2:AB2" si="1">X2+1</f>
        <v>3</v>
      </c>
      <c r="Z2">
        <f t="shared" si="1"/>
        <v>4</v>
      </c>
      <c r="AA2">
        <f t="shared" si="1"/>
        <v>5</v>
      </c>
      <c r="AB2">
        <f t="shared" si="1"/>
        <v>6</v>
      </c>
      <c r="AC2" s="14" t="s">
        <v>59</v>
      </c>
      <c r="AG2" s="14"/>
    </row>
    <row r="3" spans="1:33">
      <c r="A3" s="1" t="s">
        <v>85</v>
      </c>
      <c r="C3" s="1" t="s">
        <v>13</v>
      </c>
      <c r="D3" s="2">
        <v>194</v>
      </c>
      <c r="E3" s="2">
        <v>194</v>
      </c>
      <c r="F3" s="5">
        <f>E3/(D3*D3)*10000</f>
        <v>51.546391752577321</v>
      </c>
      <c r="G3" s="4">
        <f>CONVERT(D3,"cm","in")</f>
        <v>76.377952755905511</v>
      </c>
      <c r="H3">
        <f>_xlfn.FLOOR.MATH(G3/12)</f>
        <v>6</v>
      </c>
      <c r="I3">
        <f>ROUND(G3-H3*12,1)</f>
        <v>4.4000000000000004</v>
      </c>
      <c r="J3" t="str">
        <f>H3&amp;"' "&amp;I3&amp;""""</f>
        <v>6' 4.4"</v>
      </c>
      <c r="K3">
        <f>ROUND(CONVERT(E3,"kg","lbm"),0)</f>
        <v>428</v>
      </c>
      <c r="L3">
        <v>1</v>
      </c>
      <c r="M3" s="7" t="e">
        <f t="array" aca="1" ref="M3:M44" ca="1">[1]!ClustAnal(D3:F44,P7,P11,P9,,P13)</f>
        <v>#NAME?</v>
      </c>
      <c r="O3" t="s">
        <v>57</v>
      </c>
      <c r="P3" s="10" t="e">
        <f ca="1">AVERAGEIF($M$3:$M$44,P$2,$D$3:$D$44)</f>
        <v>#DIV/0!</v>
      </c>
      <c r="Q3" s="10" t="e">
        <f t="shared" ref="Q3:U3" ca="1" si="2">AVERAGEIF($M$3:$M$44,Q$2,$D$3:$D$44)</f>
        <v>#DIV/0!</v>
      </c>
      <c r="R3" s="10" t="e">
        <f t="shared" ca="1" si="2"/>
        <v>#DIV/0!</v>
      </c>
      <c r="S3" s="10" t="e">
        <f t="shared" ca="1" si="2"/>
        <v>#DIV/0!</v>
      </c>
      <c r="T3" s="10" t="e">
        <f t="shared" ca="1" si="2"/>
        <v>#DIV/0!</v>
      </c>
      <c r="U3" s="7" t="e">
        <f t="shared" ca="1" si="2"/>
        <v>#DIV/0!</v>
      </c>
      <c r="W3" s="10" t="e">
        <f t="array" aca="1" ref="W3" ca="1">SUM(ABS(TRANSPOSE($D3:$F3)-P$3:P$5)^$P$9)</f>
        <v>#DIV/0!</v>
      </c>
      <c r="X3" s="10" t="e">
        <f t="array" aca="1" ref="X3" ca="1">SUM(ABS(TRANSPOSE($D3:$F3)-Q$3:Q$5)^$P$9)</f>
        <v>#DIV/0!</v>
      </c>
      <c r="Y3" s="10" t="e">
        <f t="array" aca="1" ref="Y3" ca="1">SUM(ABS(TRANSPOSE($D3:$F3)-R$3:R$5)^$P$9)</f>
        <v>#DIV/0!</v>
      </c>
      <c r="Z3" s="10" t="e">
        <f t="array" aca="1" ref="Z3" ca="1">SUM(ABS(TRANSPOSE($D3:$F3)-S$3:S$5)^$P$9)</f>
        <v>#DIV/0!</v>
      </c>
      <c r="AA3" s="10" t="e">
        <f t="array" aca="1" ref="AA3" ca="1">SUM(ABS(TRANSPOSE($D3:$F3)-T$3:T$5)^$P$9)</f>
        <v>#DIV/0!</v>
      </c>
      <c r="AB3" s="7" t="e">
        <f t="array" aca="1" ref="AB3" ca="1">SUM(ABS(TRANSPOSE($D3:$F3)-U$3:U$5)^$P$9)</f>
        <v>#DIV/0!</v>
      </c>
      <c r="AC3" s="7" t="e">
        <f ca="1">MIN(W3:AB3)</f>
        <v>#DIV/0!</v>
      </c>
    </row>
    <row r="4" spans="1:33">
      <c r="A4" s="1" t="s">
        <v>86</v>
      </c>
      <c r="B4" s="1">
        <v>5</v>
      </c>
      <c r="C4" s="1" t="s">
        <v>14</v>
      </c>
      <c r="D4" s="2">
        <v>192</v>
      </c>
      <c r="E4" s="2">
        <v>184</v>
      </c>
      <c r="F4" s="5">
        <f t="shared" ref="F4:F44" si="3">E4/(D4*D4)*10000</f>
        <v>49.913194444444443</v>
      </c>
      <c r="G4" s="4">
        <f t="shared" ref="G4:G44" si="4">CONVERT(D4,"cm","in")</f>
        <v>75.59055118110237</v>
      </c>
      <c r="H4">
        <f t="shared" ref="H4:H44" si="5">_xlfn.FLOOR.MATH(G4/12)</f>
        <v>6</v>
      </c>
      <c r="I4">
        <f t="shared" ref="I4:I44" si="6">ROUND(G4-H4*12,1)</f>
        <v>3.6</v>
      </c>
      <c r="J4" t="str">
        <f t="shared" ref="J4:J44" si="7">H4&amp;"' "&amp;I4&amp;""""</f>
        <v>6' 3.6"</v>
      </c>
      <c r="K4">
        <f t="shared" ref="K4:K44" si="8">ROUND(CONVERT(E4,"kg","lbm"),0)</f>
        <v>406</v>
      </c>
      <c r="L4">
        <f>L3+1</f>
        <v>2</v>
      </c>
      <c r="M4" s="8" t="e">
        <f ca="1"/>
        <v>#NAME?</v>
      </c>
      <c r="O4" t="s">
        <v>58</v>
      </c>
      <c r="P4" s="11" t="e">
        <f ca="1">AVERAGEIF($M$3:$M$44,P$2,$E$3:$E$44)</f>
        <v>#DIV/0!</v>
      </c>
      <c r="Q4" s="11" t="e">
        <f t="shared" ref="Q4:U4" ca="1" si="9">AVERAGEIF($M$3:$M$44,Q$2,$E$3:$E$44)</f>
        <v>#DIV/0!</v>
      </c>
      <c r="R4" s="11" t="e">
        <f t="shared" ca="1" si="9"/>
        <v>#DIV/0!</v>
      </c>
      <c r="S4" s="11" t="e">
        <f t="shared" ca="1" si="9"/>
        <v>#DIV/0!</v>
      </c>
      <c r="T4" s="11" t="e">
        <f t="shared" ca="1" si="9"/>
        <v>#DIV/0!</v>
      </c>
      <c r="U4" s="9" t="e">
        <f t="shared" ca="1" si="9"/>
        <v>#DIV/0!</v>
      </c>
      <c r="W4" s="10" t="e">
        <f t="array" aca="1" ref="W4" ca="1">SUM(ABS(TRANSPOSE($D4:$F4)-P$3:P$5)^$P$9)</f>
        <v>#DIV/0!</v>
      </c>
      <c r="X4" s="10" t="e">
        <f t="array" aca="1" ref="X4" ca="1">SUM(ABS(TRANSPOSE($D4:$F4)-Q$3:Q$5)^$P$9)</f>
        <v>#DIV/0!</v>
      </c>
      <c r="Y4" s="10" t="e">
        <f t="array" aca="1" ref="Y4" ca="1">SUM(ABS(TRANSPOSE($D4:$F4)-R$3:R$5)^$P$9)</f>
        <v>#DIV/0!</v>
      </c>
      <c r="Z4" s="10" t="e">
        <f t="array" aca="1" ref="Z4" ca="1">SUM(ABS(TRANSPOSE($D4:$F4)-S$3:S$5)^$P$9)</f>
        <v>#DIV/0!</v>
      </c>
      <c r="AA4" s="10" t="e">
        <f t="array" aca="1" ref="AA4" ca="1">SUM(ABS(TRANSPOSE($D4:$F4)-T$3:T$5)^$P$9)</f>
        <v>#DIV/0!</v>
      </c>
      <c r="AB4" s="7" t="e">
        <f t="array" aca="1" ref="AB4" ca="1">SUM(ABS(TRANSPOSE($D4:$F4)-U$3:U$5)^$P$9)</f>
        <v>#DIV/0!</v>
      </c>
      <c r="AC4" s="7" t="e">
        <f t="shared" ref="AC4:AC44" ca="1" si="10">MIN(W4:AB4)</f>
        <v>#DIV/0!</v>
      </c>
    </row>
    <row r="5" spans="1:33">
      <c r="A5" s="1" t="s">
        <v>87</v>
      </c>
      <c r="B5" s="1">
        <v>1</v>
      </c>
      <c r="C5" s="1" t="s">
        <v>15</v>
      </c>
      <c r="D5" s="2">
        <v>191</v>
      </c>
      <c r="E5" s="2">
        <v>182</v>
      </c>
      <c r="F5" s="5">
        <f t="shared" si="3"/>
        <v>49.888983306378663</v>
      </c>
      <c r="G5" s="4">
        <f t="shared" si="4"/>
        <v>75.196850393700785</v>
      </c>
      <c r="H5">
        <f t="shared" si="5"/>
        <v>6</v>
      </c>
      <c r="I5">
        <f t="shared" si="6"/>
        <v>3.2</v>
      </c>
      <c r="J5" t="str">
        <f t="shared" si="7"/>
        <v>6' 3.2"</v>
      </c>
      <c r="K5">
        <f t="shared" si="8"/>
        <v>401</v>
      </c>
      <c r="L5">
        <f t="shared" ref="L5:L44" si="11">L4+1</f>
        <v>3</v>
      </c>
      <c r="M5" s="8" t="e">
        <f ca="1"/>
        <v>#NAME?</v>
      </c>
      <c r="O5" t="s">
        <v>84</v>
      </c>
      <c r="P5" s="11" t="e">
        <f ca="1">AVERAGEIF($M$3:$M$44,P$2,$F$3:$F$44)</f>
        <v>#DIV/0!</v>
      </c>
      <c r="Q5" s="12" t="e">
        <f t="shared" ref="Q5:U5" ca="1" si="12">AVERAGEIF($M$3:$M$44,Q$2,$F$3:$F$44)</f>
        <v>#DIV/0!</v>
      </c>
      <c r="R5" s="12" t="e">
        <f t="shared" ca="1" si="12"/>
        <v>#DIV/0!</v>
      </c>
      <c r="S5" s="12" t="e">
        <f t="shared" ca="1" si="12"/>
        <v>#DIV/0!</v>
      </c>
      <c r="T5" s="12" t="e">
        <f t="shared" ca="1" si="12"/>
        <v>#DIV/0!</v>
      </c>
      <c r="U5" s="13" t="e">
        <f t="shared" ca="1" si="12"/>
        <v>#DIV/0!</v>
      </c>
      <c r="W5" s="10" t="e">
        <f t="array" aca="1" ref="W5" ca="1">SUM(ABS(TRANSPOSE($D5:$F5)-P$3:P$5)^$P$9)</f>
        <v>#DIV/0!</v>
      </c>
      <c r="X5" s="10" t="e">
        <f t="array" aca="1" ref="X5" ca="1">SUM(ABS(TRANSPOSE($D5:$F5)-Q$3:Q$5)^$P$9)</f>
        <v>#DIV/0!</v>
      </c>
      <c r="Y5" s="10" t="e">
        <f t="array" aca="1" ref="Y5" ca="1">SUM(ABS(TRANSPOSE($D5:$F5)-R$3:R$5)^$P$9)</f>
        <v>#DIV/0!</v>
      </c>
      <c r="Z5" s="10" t="e">
        <f t="array" aca="1" ref="Z5" ca="1">SUM(ABS(TRANSPOSE($D5:$F5)-S$3:S$5)^$P$9)</f>
        <v>#DIV/0!</v>
      </c>
      <c r="AA5" s="10" t="e">
        <f t="array" aca="1" ref="AA5" ca="1">SUM(ABS(TRANSPOSE($D5:$F5)-T$3:T$5)^$P$9)</f>
        <v>#DIV/0!</v>
      </c>
      <c r="AB5" s="7" t="e">
        <f t="array" aca="1" ref="AB5" ca="1">SUM(ABS(TRANSPOSE($D5:$F5)-U$3:U$5)^$P$9)</f>
        <v>#DIV/0!</v>
      </c>
      <c r="AC5" s="7" t="e">
        <f t="shared" ca="1" si="10"/>
        <v>#DIV/0!</v>
      </c>
    </row>
    <row r="6" spans="1:33">
      <c r="A6" s="1" t="s">
        <v>88</v>
      </c>
      <c r="B6" s="1"/>
      <c r="C6" s="1" t="s">
        <v>16</v>
      </c>
      <c r="D6" s="2">
        <v>191</v>
      </c>
      <c r="E6" s="2">
        <v>182</v>
      </c>
      <c r="F6" s="5">
        <f t="shared" si="3"/>
        <v>49.888983306378663</v>
      </c>
      <c r="G6" s="4">
        <f t="shared" si="4"/>
        <v>75.196850393700785</v>
      </c>
      <c r="H6">
        <f t="shared" si="5"/>
        <v>6</v>
      </c>
      <c r="I6">
        <f t="shared" si="6"/>
        <v>3.2</v>
      </c>
      <c r="J6" t="str">
        <f t="shared" si="7"/>
        <v>6' 3.2"</v>
      </c>
      <c r="K6">
        <f t="shared" si="8"/>
        <v>401</v>
      </c>
      <c r="L6" s="14">
        <f t="shared" si="11"/>
        <v>4</v>
      </c>
      <c r="M6" s="8" t="e">
        <f ca="1"/>
        <v>#NAME?</v>
      </c>
      <c r="O6" t="s">
        <v>54</v>
      </c>
      <c r="P6" s="6">
        <v>6</v>
      </c>
      <c r="W6" s="10" t="e">
        <f t="array" aca="1" ref="W6" ca="1">SUM(ABS(TRANSPOSE($D6:$F6)-P$3:P$5)^$P$9)</f>
        <v>#DIV/0!</v>
      </c>
      <c r="X6" s="10" t="e">
        <f t="array" aca="1" ref="X6" ca="1">SUM(ABS(TRANSPOSE($D6:$F6)-Q$3:Q$5)^$P$9)</f>
        <v>#DIV/0!</v>
      </c>
      <c r="Y6" s="10" t="e">
        <f t="array" aca="1" ref="Y6" ca="1">SUM(ABS(TRANSPOSE($D6:$F6)-R$3:R$5)^$P$9)</f>
        <v>#DIV/0!</v>
      </c>
      <c r="Z6" s="10" t="e">
        <f t="array" aca="1" ref="Z6" ca="1">SUM(ABS(TRANSPOSE($D6:$F6)-S$3:S$5)^$P$9)</f>
        <v>#DIV/0!</v>
      </c>
      <c r="AA6" s="10" t="e">
        <f t="array" aca="1" ref="AA6" ca="1">SUM(ABS(TRANSPOSE($D6:$F6)-T$3:T$5)^$P$9)</f>
        <v>#DIV/0!</v>
      </c>
      <c r="AB6" s="7" t="e">
        <f t="array" aca="1" ref="AB6" ca="1">SUM(ABS(TRANSPOSE($D6:$F6)-U$3:U$5)^$P$9)</f>
        <v>#DIV/0!</v>
      </c>
      <c r="AC6" s="7" t="e">
        <f t="shared" ca="1" si="10"/>
        <v>#DIV/0!</v>
      </c>
    </row>
    <row r="7" spans="1:33">
      <c r="A7" s="1" t="s">
        <v>89</v>
      </c>
      <c r="B7" s="1"/>
      <c r="C7" s="1" t="s">
        <v>22</v>
      </c>
      <c r="D7" s="2">
        <v>190</v>
      </c>
      <c r="E7" s="2">
        <v>206</v>
      </c>
      <c r="F7" s="5">
        <f t="shared" si="3"/>
        <v>57.063711911357338</v>
      </c>
      <c r="G7" s="4">
        <f t="shared" si="4"/>
        <v>74.803149606299215</v>
      </c>
      <c r="H7">
        <f t="shared" si="5"/>
        <v>6</v>
      </c>
      <c r="I7">
        <f t="shared" si="6"/>
        <v>2.8</v>
      </c>
      <c r="J7" t="str">
        <f t="shared" si="7"/>
        <v>6' 2.8"</v>
      </c>
      <c r="K7">
        <f t="shared" si="8"/>
        <v>454</v>
      </c>
      <c r="L7">
        <f t="shared" si="11"/>
        <v>5</v>
      </c>
      <c r="M7" s="8" t="e">
        <f ca="1"/>
        <v>#NAME?</v>
      </c>
      <c r="O7" t="s">
        <v>54</v>
      </c>
      <c r="P7" s="6">
        <v>6</v>
      </c>
      <c r="W7" s="10" t="e">
        <f t="array" aca="1" ref="W7" ca="1">SUM(ABS(TRANSPOSE($D7:$F7)-P$3:P$5)^$P$9)</f>
        <v>#DIV/0!</v>
      </c>
      <c r="X7" s="10" t="e">
        <f t="array" aca="1" ref="X7" ca="1">SUM(ABS(TRANSPOSE($D7:$F7)-Q$3:Q$5)^$P$9)</f>
        <v>#DIV/0!</v>
      </c>
      <c r="Y7" s="10" t="e">
        <f t="array" aca="1" ref="Y7" ca="1">SUM(ABS(TRANSPOSE($D7:$F7)-R$3:R$5)^$P$9)</f>
        <v>#DIV/0!</v>
      </c>
      <c r="Z7" s="10" t="e">
        <f t="array" aca="1" ref="Z7" ca="1">SUM(ABS(TRANSPOSE($D7:$F7)-S$3:S$5)^$P$9)</f>
        <v>#DIV/0!</v>
      </c>
      <c r="AA7" s="10" t="e">
        <f t="array" aca="1" ref="AA7" ca="1">SUM(ABS(TRANSPOSE($D7:$F7)-T$3:T$5)^$P$9)</f>
        <v>#DIV/0!</v>
      </c>
      <c r="AB7" s="7" t="e">
        <f t="array" aca="1" ref="AB7" ca="1">SUM(ABS(TRANSPOSE($D7:$F7)-U$3:U$5)^$P$9)</f>
        <v>#DIV/0!</v>
      </c>
      <c r="AC7" s="7" t="e">
        <f t="shared" ca="1" si="10"/>
        <v>#DIV/0!</v>
      </c>
    </row>
    <row r="8" spans="1:33">
      <c r="A8" s="1" t="s">
        <v>90</v>
      </c>
      <c r="B8" s="1"/>
      <c r="C8" s="1" t="s">
        <v>23</v>
      </c>
      <c r="D8" s="2">
        <v>190</v>
      </c>
      <c r="E8" s="2">
        <v>158</v>
      </c>
      <c r="F8" s="5">
        <f t="shared" si="3"/>
        <v>43.767313019390578</v>
      </c>
      <c r="G8" s="4">
        <f t="shared" si="4"/>
        <v>74.803149606299215</v>
      </c>
      <c r="H8">
        <f t="shared" si="5"/>
        <v>6</v>
      </c>
      <c r="I8">
        <f t="shared" si="6"/>
        <v>2.8</v>
      </c>
      <c r="J8" t="str">
        <f t="shared" si="7"/>
        <v>6' 2.8"</v>
      </c>
      <c r="K8">
        <f t="shared" si="8"/>
        <v>348</v>
      </c>
      <c r="L8">
        <f t="shared" si="11"/>
        <v>6</v>
      </c>
      <c r="M8" s="8" t="e">
        <f ca="1"/>
        <v>#NAME?</v>
      </c>
      <c r="O8" t="s">
        <v>55</v>
      </c>
      <c r="P8" s="6">
        <v>2</v>
      </c>
      <c r="W8" s="10" t="e">
        <f t="array" aca="1" ref="W8" ca="1">SUM(ABS(TRANSPOSE($D8:$F8)-P$3:P$5)^$P$9)</f>
        <v>#DIV/0!</v>
      </c>
      <c r="X8" s="10" t="e">
        <f t="array" aca="1" ref="X8" ca="1">SUM(ABS(TRANSPOSE($D8:$F8)-Q$3:Q$5)^$P$9)</f>
        <v>#DIV/0!</v>
      </c>
      <c r="Y8" s="10" t="e">
        <f t="array" aca="1" ref="Y8" ca="1">SUM(ABS(TRANSPOSE($D8:$F8)-R$3:R$5)^$P$9)</f>
        <v>#DIV/0!</v>
      </c>
      <c r="Z8" s="10" t="e">
        <f t="array" aca="1" ref="Z8" ca="1">SUM(ABS(TRANSPOSE($D8:$F8)-S$3:S$5)^$P$9)</f>
        <v>#DIV/0!</v>
      </c>
      <c r="AA8" s="10" t="e">
        <f t="array" aca="1" ref="AA8" ca="1">SUM(ABS(TRANSPOSE($D8:$F8)-T$3:T$5)^$P$9)</f>
        <v>#DIV/0!</v>
      </c>
      <c r="AB8" s="7" t="e">
        <f t="array" aca="1" ref="AB8" ca="1">SUM(ABS(TRANSPOSE($D8:$F8)-U$3:U$5)^$P$9)</f>
        <v>#DIV/0!</v>
      </c>
      <c r="AC8" s="7" t="e">
        <f t="shared" ca="1" si="10"/>
        <v>#DIV/0!</v>
      </c>
    </row>
    <row r="9" spans="1:33">
      <c r="A9" s="1" t="s">
        <v>91</v>
      </c>
      <c r="B9" s="1"/>
      <c r="C9" s="1" t="s">
        <v>19</v>
      </c>
      <c r="D9" s="2">
        <v>190</v>
      </c>
      <c r="E9" s="2">
        <v>183</v>
      </c>
      <c r="F9" s="5">
        <f t="shared" si="3"/>
        <v>50.692520775623272</v>
      </c>
      <c r="G9" s="4">
        <f t="shared" si="4"/>
        <v>74.803149606299215</v>
      </c>
      <c r="H9">
        <f t="shared" si="5"/>
        <v>6</v>
      </c>
      <c r="I9">
        <f t="shared" si="6"/>
        <v>2.8</v>
      </c>
      <c r="J9" t="str">
        <f t="shared" si="7"/>
        <v>6' 2.8"</v>
      </c>
      <c r="K9">
        <f t="shared" si="8"/>
        <v>403</v>
      </c>
      <c r="L9">
        <f t="shared" si="11"/>
        <v>7</v>
      </c>
      <c r="M9" s="8" t="e">
        <f ca="1"/>
        <v>#NAME?</v>
      </c>
      <c r="O9" t="s">
        <v>55</v>
      </c>
      <c r="P9" s="6">
        <v>2</v>
      </c>
      <c r="W9" s="10" t="e">
        <f t="array" aca="1" ref="W9" ca="1">SUM(ABS(TRANSPOSE($D9:$F9)-P$3:P$5)^$P$9)</f>
        <v>#DIV/0!</v>
      </c>
      <c r="X9" s="10" t="e">
        <f t="array" aca="1" ref="X9" ca="1">SUM(ABS(TRANSPOSE($D9:$F9)-Q$3:Q$5)^$P$9)</f>
        <v>#DIV/0!</v>
      </c>
      <c r="Y9" s="10" t="e">
        <f t="array" aca="1" ref="Y9" ca="1">SUM(ABS(TRANSPOSE($D9:$F9)-R$3:R$5)^$P$9)</f>
        <v>#DIV/0!</v>
      </c>
      <c r="Z9" s="10" t="e">
        <f t="array" aca="1" ref="Z9" ca="1">SUM(ABS(TRANSPOSE($D9:$F9)-S$3:S$5)^$P$9)</f>
        <v>#DIV/0!</v>
      </c>
      <c r="AA9" s="10" t="e">
        <f t="array" aca="1" ref="AA9" ca="1">SUM(ABS(TRANSPOSE($D9:$F9)-T$3:T$5)^$P$9)</f>
        <v>#DIV/0!</v>
      </c>
      <c r="AB9" s="7" t="e">
        <f t="array" aca="1" ref="AB9" ca="1">SUM(ABS(TRANSPOSE($D9:$F9)-U$3:U$5)^$P$9)</f>
        <v>#DIV/0!</v>
      </c>
      <c r="AC9" s="7" t="e">
        <f t="shared" ca="1" si="10"/>
        <v>#DIV/0!</v>
      </c>
    </row>
    <row r="10" spans="1:33">
      <c r="A10" s="1" t="s">
        <v>92</v>
      </c>
      <c r="B10" s="1">
        <v>1</v>
      </c>
      <c r="C10" s="1" t="s">
        <v>24</v>
      </c>
      <c r="D10" s="2">
        <v>189</v>
      </c>
      <c r="E10" s="2">
        <v>172</v>
      </c>
      <c r="F10" s="5">
        <f t="shared" si="3"/>
        <v>48.150947621847095</v>
      </c>
      <c r="G10" s="4">
        <f t="shared" si="4"/>
        <v>74.409448818897644</v>
      </c>
      <c r="H10">
        <f t="shared" si="5"/>
        <v>6</v>
      </c>
      <c r="I10">
        <f t="shared" si="6"/>
        <v>2.4</v>
      </c>
      <c r="J10" t="str">
        <f t="shared" si="7"/>
        <v>6' 2.4"</v>
      </c>
      <c r="K10">
        <f t="shared" si="8"/>
        <v>379</v>
      </c>
      <c r="L10">
        <f t="shared" si="11"/>
        <v>8</v>
      </c>
      <c r="M10" s="8" t="e">
        <f ca="1"/>
        <v>#NAME?</v>
      </c>
      <c r="O10" t="s">
        <v>56</v>
      </c>
      <c r="P10" s="6">
        <v>40</v>
      </c>
      <c r="W10" s="10" t="e">
        <f t="array" aca="1" ref="W10" ca="1">SUM(ABS(TRANSPOSE($D10:$F10)-P$3:P$5)^$P$9)</f>
        <v>#DIV/0!</v>
      </c>
      <c r="X10" s="10" t="e">
        <f t="array" aca="1" ref="X10" ca="1">SUM(ABS(TRANSPOSE($D10:$F10)-Q$3:Q$5)^$P$9)</f>
        <v>#DIV/0!</v>
      </c>
      <c r="Y10" s="10" t="e">
        <f t="array" aca="1" ref="Y10" ca="1">SUM(ABS(TRANSPOSE($D10:$F10)-R$3:R$5)^$P$9)</f>
        <v>#DIV/0!</v>
      </c>
      <c r="Z10" s="10" t="e">
        <f t="array" aca="1" ref="Z10" ca="1">SUM(ABS(TRANSPOSE($D10:$F10)-S$3:S$5)^$P$9)</f>
        <v>#DIV/0!</v>
      </c>
      <c r="AA10" s="10" t="e">
        <f t="array" aca="1" ref="AA10" ca="1">SUM(ABS(TRANSPOSE($D10:$F10)-T$3:T$5)^$P$9)</f>
        <v>#DIV/0!</v>
      </c>
      <c r="AB10" s="7" t="e">
        <f t="array" aca="1" ref="AB10" ca="1">SUM(ABS(TRANSPOSE($D10:$F10)-U$3:U$5)^$P$9)</f>
        <v>#DIV/0!</v>
      </c>
      <c r="AC10" s="7" t="e">
        <f t="shared" ca="1" si="10"/>
        <v>#DIV/0!</v>
      </c>
    </row>
    <row r="11" spans="1:33">
      <c r="A11" s="1" t="s">
        <v>93</v>
      </c>
      <c r="B11" s="1"/>
      <c r="C11" s="1" t="s">
        <v>25</v>
      </c>
      <c r="D11" s="2">
        <v>188</v>
      </c>
      <c r="E11" s="2">
        <v>154</v>
      </c>
      <c r="F11" s="5">
        <f t="shared" si="3"/>
        <v>43.571751923947488</v>
      </c>
      <c r="G11" s="4">
        <f t="shared" si="4"/>
        <v>74.015748031496059</v>
      </c>
      <c r="H11">
        <f t="shared" si="5"/>
        <v>6</v>
      </c>
      <c r="I11">
        <f t="shared" si="6"/>
        <v>2</v>
      </c>
      <c r="J11" t="str">
        <f t="shared" si="7"/>
        <v>6' 2"</v>
      </c>
      <c r="K11">
        <f t="shared" si="8"/>
        <v>340</v>
      </c>
      <c r="L11">
        <f t="shared" si="11"/>
        <v>9</v>
      </c>
      <c r="M11" s="8" t="e">
        <f ca="1"/>
        <v>#NAME?</v>
      </c>
      <c r="O11" t="s">
        <v>56</v>
      </c>
      <c r="P11" s="6">
        <v>40</v>
      </c>
      <c r="W11" s="10" t="e">
        <f t="array" aca="1" ref="W11" ca="1">SUM(ABS(TRANSPOSE($D11:$F11)-P$3:P$5)^$P$9)</f>
        <v>#DIV/0!</v>
      </c>
      <c r="X11" s="10" t="e">
        <f t="array" aca="1" ref="X11" ca="1">SUM(ABS(TRANSPOSE($D11:$F11)-Q$3:Q$5)^$P$9)</f>
        <v>#DIV/0!</v>
      </c>
      <c r="Y11" s="10" t="e">
        <f t="array" aca="1" ref="Y11" ca="1">SUM(ABS(TRANSPOSE($D11:$F11)-R$3:R$5)^$P$9)</f>
        <v>#DIV/0!</v>
      </c>
      <c r="Z11" s="10" t="e">
        <f t="array" aca="1" ref="Z11" ca="1">SUM(ABS(TRANSPOSE($D11:$F11)-S$3:S$5)^$P$9)</f>
        <v>#DIV/0!</v>
      </c>
      <c r="AA11" s="10" t="e">
        <f t="array" aca="1" ref="AA11" ca="1">SUM(ABS(TRANSPOSE($D11:$F11)-T$3:T$5)^$P$9)</f>
        <v>#DIV/0!</v>
      </c>
      <c r="AB11" s="7" t="e">
        <f t="array" aca="1" ref="AB11" ca="1">SUM(ABS(TRANSPOSE($D11:$F11)-U$3:U$5)^$P$9)</f>
        <v>#DIV/0!</v>
      </c>
      <c r="AC11" s="7" t="e">
        <f t="shared" ca="1" si="10"/>
        <v>#DIV/0!</v>
      </c>
    </row>
    <row r="12" spans="1:33">
      <c r="A12" s="1" t="s">
        <v>94</v>
      </c>
      <c r="B12" s="1"/>
      <c r="C12" s="1" t="s">
        <v>21</v>
      </c>
      <c r="D12" s="2">
        <v>188</v>
      </c>
      <c r="E12" s="2">
        <v>165</v>
      </c>
      <c r="F12" s="5">
        <f t="shared" si="3"/>
        <v>46.684019918515169</v>
      </c>
      <c r="G12" s="4">
        <f t="shared" si="4"/>
        <v>74.015748031496059</v>
      </c>
      <c r="H12">
        <f t="shared" si="5"/>
        <v>6</v>
      </c>
      <c r="I12">
        <f t="shared" si="6"/>
        <v>2</v>
      </c>
      <c r="J12" t="str">
        <f t="shared" si="7"/>
        <v>6' 2"</v>
      </c>
      <c r="K12">
        <f t="shared" si="8"/>
        <v>364</v>
      </c>
      <c r="L12">
        <f t="shared" si="11"/>
        <v>10</v>
      </c>
      <c r="M12" s="8" t="e">
        <f ca="1"/>
        <v>#NAME?</v>
      </c>
      <c r="O12" t="s">
        <v>60</v>
      </c>
      <c r="P12" s="6">
        <v>500</v>
      </c>
      <c r="W12" s="10" t="e">
        <f t="array" aca="1" ref="W12" ca="1">SUM(ABS(TRANSPOSE($D12:$F12)-P$3:P$5)^$P$9)</f>
        <v>#DIV/0!</v>
      </c>
      <c r="X12" s="10" t="e">
        <f t="array" aca="1" ref="X12" ca="1">SUM(ABS(TRANSPOSE($D12:$F12)-Q$3:Q$5)^$P$9)</f>
        <v>#DIV/0!</v>
      </c>
      <c r="Y12" s="10" t="e">
        <f t="array" aca="1" ref="Y12" ca="1">SUM(ABS(TRANSPOSE($D12:$F12)-R$3:R$5)^$P$9)</f>
        <v>#DIV/0!</v>
      </c>
      <c r="Z12" s="10" t="e">
        <f t="array" aca="1" ref="Z12" ca="1">SUM(ABS(TRANSPOSE($D12:$F12)-S$3:S$5)^$P$9)</f>
        <v>#DIV/0!</v>
      </c>
      <c r="AA12" s="10" t="e">
        <f t="array" aca="1" ref="AA12" ca="1">SUM(ABS(TRANSPOSE($D12:$F12)-T$3:T$5)^$P$9)</f>
        <v>#DIV/0!</v>
      </c>
      <c r="AB12" s="7" t="e">
        <f t="array" aca="1" ref="AB12" ca="1">SUM(ABS(TRANSPOSE($D12:$F12)-U$3:U$5)^$P$9)</f>
        <v>#DIV/0!</v>
      </c>
      <c r="AC12" s="7" t="e">
        <f t="shared" ca="1" si="10"/>
        <v>#DIV/0!</v>
      </c>
    </row>
    <row r="13" spans="1:33">
      <c r="A13" s="1" t="s">
        <v>95</v>
      </c>
      <c r="B13" s="1"/>
      <c r="C13" s="1" t="s">
        <v>25</v>
      </c>
      <c r="D13" s="2">
        <v>187</v>
      </c>
      <c r="E13" s="2">
        <v>132</v>
      </c>
      <c r="F13" s="5">
        <f t="shared" si="3"/>
        <v>37.747719408619062</v>
      </c>
      <c r="G13" s="4">
        <f t="shared" si="4"/>
        <v>73.622047244094489</v>
      </c>
      <c r="H13">
        <f t="shared" si="5"/>
        <v>6</v>
      </c>
      <c r="I13">
        <f t="shared" si="6"/>
        <v>1.6</v>
      </c>
      <c r="J13" t="str">
        <f t="shared" si="7"/>
        <v>6' 1.6"</v>
      </c>
      <c r="K13">
        <f t="shared" si="8"/>
        <v>291</v>
      </c>
      <c r="L13">
        <f t="shared" si="11"/>
        <v>11</v>
      </c>
      <c r="M13" s="8" t="e">
        <f ca="1"/>
        <v>#NAME?</v>
      </c>
      <c r="O13" t="s">
        <v>60</v>
      </c>
      <c r="P13" s="6">
        <v>200</v>
      </c>
      <c r="W13" s="10" t="e">
        <f t="array" aca="1" ref="W13" ca="1">SUM(ABS(TRANSPOSE($D13:$F13)-P$3:P$5)^$P$9)</f>
        <v>#DIV/0!</v>
      </c>
      <c r="X13" s="10" t="e">
        <f t="array" aca="1" ref="X13" ca="1">SUM(ABS(TRANSPOSE($D13:$F13)-Q$3:Q$5)^$P$9)</f>
        <v>#DIV/0!</v>
      </c>
      <c r="Y13" s="10" t="e">
        <f t="array" aca="1" ref="Y13" ca="1">SUM(ABS(TRANSPOSE($D13:$F13)-R$3:R$5)^$P$9)</f>
        <v>#DIV/0!</v>
      </c>
      <c r="Z13" s="10" t="e">
        <f t="array" aca="1" ref="Z13" ca="1">SUM(ABS(TRANSPOSE($D13:$F13)-S$3:S$5)^$P$9)</f>
        <v>#DIV/0!</v>
      </c>
      <c r="AA13" s="10" t="e">
        <f t="array" aca="1" ref="AA13" ca="1">SUM(ABS(TRANSPOSE($D13:$F13)-T$3:T$5)^$P$9)</f>
        <v>#DIV/0!</v>
      </c>
      <c r="AB13" s="7" t="e">
        <f t="array" aca="1" ref="AB13" ca="1">SUM(ABS(TRANSPOSE($D13:$F13)-U$3:U$5)^$P$9)</f>
        <v>#DIV/0!</v>
      </c>
      <c r="AC13" s="7" t="e">
        <f t="shared" ca="1" si="10"/>
        <v>#DIV/0!</v>
      </c>
    </row>
    <row r="14" spans="1:33">
      <c r="A14" s="1" t="s">
        <v>96</v>
      </c>
      <c r="B14" s="1"/>
      <c r="C14" s="1" t="s">
        <v>27</v>
      </c>
      <c r="D14" s="2">
        <v>187</v>
      </c>
      <c r="E14" s="2">
        <v>175</v>
      </c>
      <c r="F14" s="5">
        <f t="shared" si="3"/>
        <v>50.044324973548001</v>
      </c>
      <c r="G14" s="4">
        <f t="shared" si="4"/>
        <v>73.622047244094489</v>
      </c>
      <c r="H14">
        <f t="shared" si="5"/>
        <v>6</v>
      </c>
      <c r="I14">
        <f t="shared" si="6"/>
        <v>1.6</v>
      </c>
      <c r="J14" t="str">
        <f t="shared" si="7"/>
        <v>6' 1.6"</v>
      </c>
      <c r="K14">
        <f t="shared" si="8"/>
        <v>386</v>
      </c>
      <c r="L14">
        <f t="shared" si="11"/>
        <v>12</v>
      </c>
      <c r="M14" s="8" t="e">
        <f ca="1"/>
        <v>#NAME?</v>
      </c>
      <c r="O14" t="s">
        <v>61</v>
      </c>
      <c r="P14" s="6" t="e">
        <f ca="1">[1]!CLUST_Converge(D3:E44,M3:M44)</f>
        <v>#NAME?</v>
      </c>
      <c r="W14" s="10" t="e">
        <f t="array" aca="1" ref="W14" ca="1">SUM(ABS(TRANSPOSE($D14:$F14)-P$3:P$5)^$P$9)</f>
        <v>#DIV/0!</v>
      </c>
      <c r="X14" s="10" t="e">
        <f t="array" aca="1" ref="X14" ca="1">SUM(ABS(TRANSPOSE($D14:$F14)-Q$3:Q$5)^$P$9)</f>
        <v>#DIV/0!</v>
      </c>
      <c r="Y14" s="10" t="e">
        <f t="array" aca="1" ref="Y14" ca="1">SUM(ABS(TRANSPOSE($D14:$F14)-R$3:R$5)^$P$9)</f>
        <v>#DIV/0!</v>
      </c>
      <c r="Z14" s="10" t="e">
        <f t="array" aca="1" ref="Z14" ca="1">SUM(ABS(TRANSPOSE($D14:$F14)-S$3:S$5)^$P$9)</f>
        <v>#DIV/0!</v>
      </c>
      <c r="AA14" s="10" t="e">
        <f t="array" aca="1" ref="AA14" ca="1">SUM(ABS(TRANSPOSE($D14:$F14)-T$3:T$5)^$P$9)</f>
        <v>#DIV/0!</v>
      </c>
      <c r="AB14" s="7" t="e">
        <f t="array" aca="1" ref="AB14" ca="1">SUM(ABS(TRANSPOSE($D14:$F14)-U$3:U$5)^$P$9)</f>
        <v>#DIV/0!</v>
      </c>
      <c r="AC14" s="7" t="e">
        <f t="shared" ca="1" si="10"/>
        <v>#DIV/0!</v>
      </c>
    </row>
    <row r="15" spans="1:33">
      <c r="A15" s="1" t="s">
        <v>97</v>
      </c>
      <c r="B15" s="1"/>
      <c r="C15" s="1" t="s">
        <v>28</v>
      </c>
      <c r="D15" s="2">
        <v>187</v>
      </c>
      <c r="E15" s="2">
        <v>155</v>
      </c>
      <c r="F15" s="5">
        <f t="shared" si="3"/>
        <v>44.324973547999662</v>
      </c>
      <c r="G15" s="4">
        <f t="shared" si="4"/>
        <v>73.622047244094489</v>
      </c>
      <c r="H15">
        <f t="shared" si="5"/>
        <v>6</v>
      </c>
      <c r="I15">
        <f t="shared" si="6"/>
        <v>1.6</v>
      </c>
      <c r="J15" t="str">
        <f t="shared" si="7"/>
        <v>6' 1.6"</v>
      </c>
      <c r="K15">
        <f t="shared" si="8"/>
        <v>342</v>
      </c>
      <c r="L15">
        <f t="shared" si="11"/>
        <v>13</v>
      </c>
      <c r="M15" s="8" t="e">
        <f ca="1"/>
        <v>#NAME?</v>
      </c>
      <c r="O15" t="s">
        <v>61</v>
      </c>
      <c r="P15" s="6" t="e">
        <f ca="1">[1]!CLUST_Converge(D3:F44,M3:M44)</f>
        <v>#NAME?</v>
      </c>
      <c r="W15" s="10" t="e">
        <f t="array" aca="1" ref="W15" ca="1">SUM(ABS(TRANSPOSE($D15:$F15)-P$3:P$5)^$P$9)</f>
        <v>#DIV/0!</v>
      </c>
      <c r="X15" s="10" t="e">
        <f t="array" aca="1" ref="X15" ca="1">SUM(ABS(TRANSPOSE($D15:$F15)-Q$3:Q$5)^$P$9)</f>
        <v>#DIV/0!</v>
      </c>
      <c r="Y15" s="10" t="e">
        <f t="array" aca="1" ref="Y15" ca="1">SUM(ABS(TRANSPOSE($D15:$F15)-R$3:R$5)^$P$9)</f>
        <v>#DIV/0!</v>
      </c>
      <c r="Z15" s="10" t="e">
        <f t="array" aca="1" ref="Z15" ca="1">SUM(ABS(TRANSPOSE($D15:$F15)-S$3:S$5)^$P$9)</f>
        <v>#DIV/0!</v>
      </c>
      <c r="AA15" s="10" t="e">
        <f t="array" aca="1" ref="AA15" ca="1">SUM(ABS(TRANSPOSE($D15:$F15)-T$3:T$5)^$P$9)</f>
        <v>#DIV/0!</v>
      </c>
      <c r="AB15" s="7" t="e">
        <f t="array" aca="1" ref="AB15" ca="1">SUM(ABS(TRANSPOSE($D15:$F15)-U$3:U$5)^$P$9)</f>
        <v>#DIV/0!</v>
      </c>
      <c r="AC15" s="7" t="e">
        <f t="shared" ca="1" si="10"/>
        <v>#DIV/0!</v>
      </c>
    </row>
    <row r="16" spans="1:33">
      <c r="A16" s="1" t="s">
        <v>98</v>
      </c>
      <c r="B16" s="1"/>
      <c r="C16" s="1" t="s">
        <v>29</v>
      </c>
      <c r="D16" s="2">
        <v>187</v>
      </c>
      <c r="E16" s="2">
        <v>145</v>
      </c>
      <c r="F16" s="5">
        <f t="shared" si="3"/>
        <v>41.465297835225485</v>
      </c>
      <c r="G16" s="4">
        <f t="shared" si="4"/>
        <v>73.622047244094489</v>
      </c>
      <c r="H16">
        <f t="shared" si="5"/>
        <v>6</v>
      </c>
      <c r="I16">
        <f t="shared" si="6"/>
        <v>1.6</v>
      </c>
      <c r="J16" t="str">
        <f t="shared" si="7"/>
        <v>6' 1.6"</v>
      </c>
      <c r="K16">
        <f t="shared" si="8"/>
        <v>320</v>
      </c>
      <c r="L16">
        <f t="shared" si="11"/>
        <v>14</v>
      </c>
      <c r="M16" s="8" t="e">
        <f ca="1"/>
        <v>#NAME?</v>
      </c>
      <c r="O16" t="s">
        <v>62</v>
      </c>
      <c r="P16" s="6" t="e">
        <f ca="1">SUM(AC3:AC44)</f>
        <v>#DIV/0!</v>
      </c>
      <c r="W16" s="10" t="e">
        <f t="array" aca="1" ref="W16" ca="1">SUM(ABS(TRANSPOSE($D16:$F16)-P$3:P$5)^$P$9)</f>
        <v>#DIV/0!</v>
      </c>
      <c r="X16" s="10" t="e">
        <f t="array" aca="1" ref="X16" ca="1">SUM(ABS(TRANSPOSE($D16:$F16)-Q$3:Q$5)^$P$9)</f>
        <v>#DIV/0!</v>
      </c>
      <c r="Y16" s="10" t="e">
        <f t="array" aca="1" ref="Y16" ca="1">SUM(ABS(TRANSPOSE($D16:$F16)-R$3:R$5)^$P$9)</f>
        <v>#DIV/0!</v>
      </c>
      <c r="Z16" s="10" t="e">
        <f t="array" aca="1" ref="Z16" ca="1">SUM(ABS(TRANSPOSE($D16:$F16)-S$3:S$5)^$P$9)</f>
        <v>#DIV/0!</v>
      </c>
      <c r="AA16" s="10" t="e">
        <f t="array" aca="1" ref="AA16" ca="1">SUM(ABS(TRANSPOSE($D16:$F16)-T$3:T$5)^$P$9)</f>
        <v>#DIV/0!</v>
      </c>
      <c r="AB16" s="7" t="e">
        <f t="array" aca="1" ref="AB16" ca="1">SUM(ABS(TRANSPOSE($D16:$F16)-U$3:U$5)^$P$9)</f>
        <v>#DIV/0!</v>
      </c>
      <c r="AC16" s="7" t="e">
        <f t="shared" ca="1" si="10"/>
        <v>#DIV/0!</v>
      </c>
    </row>
    <row r="17" spans="1:29">
      <c r="A17" s="1" t="s">
        <v>99</v>
      </c>
      <c r="B17" s="1"/>
      <c r="C17" s="1" t="s">
        <v>30</v>
      </c>
      <c r="D17" s="2">
        <v>183</v>
      </c>
      <c r="E17" s="2">
        <v>148</v>
      </c>
      <c r="F17" s="5">
        <f t="shared" si="3"/>
        <v>44.193615814147932</v>
      </c>
      <c r="G17" s="4">
        <f t="shared" si="4"/>
        <v>72.047244094488192</v>
      </c>
      <c r="H17">
        <f t="shared" si="5"/>
        <v>6</v>
      </c>
      <c r="I17">
        <f t="shared" si="6"/>
        <v>0</v>
      </c>
      <c r="J17" t="str">
        <f t="shared" si="7"/>
        <v>6' 0"</v>
      </c>
      <c r="K17">
        <f t="shared" si="8"/>
        <v>326</v>
      </c>
      <c r="L17">
        <f t="shared" si="11"/>
        <v>15</v>
      </c>
      <c r="M17" s="8" t="e">
        <f ca="1"/>
        <v>#NAME?</v>
      </c>
      <c r="O17" t="s">
        <v>62</v>
      </c>
      <c r="P17" s="6" t="e">
        <f ca="1">SUM(AC3:AC44)</f>
        <v>#DIV/0!</v>
      </c>
      <c r="W17" s="10" t="e">
        <f t="array" aca="1" ref="W17" ca="1">SUM(ABS(TRANSPOSE($D17:$F17)-P$3:P$5)^$P$9)</f>
        <v>#DIV/0!</v>
      </c>
      <c r="X17" s="10" t="e">
        <f t="array" aca="1" ref="X17" ca="1">SUM(ABS(TRANSPOSE($D17:$F17)-Q$3:Q$5)^$P$9)</f>
        <v>#DIV/0!</v>
      </c>
      <c r="Y17" s="10" t="e">
        <f t="array" aca="1" ref="Y17" ca="1">SUM(ABS(TRANSPOSE($D17:$F17)-R$3:R$5)^$P$9)</f>
        <v>#DIV/0!</v>
      </c>
      <c r="Z17" s="10" t="e">
        <f t="array" aca="1" ref="Z17" ca="1">SUM(ABS(TRANSPOSE($D17:$F17)-S$3:S$5)^$P$9)</f>
        <v>#DIV/0!</v>
      </c>
      <c r="AA17" s="10" t="e">
        <f t="array" aca="1" ref="AA17" ca="1">SUM(ABS(TRANSPOSE($D17:$F17)-T$3:T$5)^$P$9)</f>
        <v>#DIV/0!</v>
      </c>
      <c r="AB17" s="7" t="e">
        <f t="array" aca="1" ref="AB17" ca="1">SUM(ABS(TRANSPOSE($D17:$F17)-U$3:U$5)^$P$9)</f>
        <v>#DIV/0!</v>
      </c>
      <c r="AC17" s="7" t="e">
        <f t="shared" ca="1" si="10"/>
        <v>#DIV/0!</v>
      </c>
    </row>
    <row r="18" spans="1:29">
      <c r="A18" s="1" t="s">
        <v>100</v>
      </c>
      <c r="B18" s="1"/>
      <c r="C18" s="1" t="s">
        <v>17</v>
      </c>
      <c r="D18" s="2">
        <v>186</v>
      </c>
      <c r="E18" s="2">
        <v>138</v>
      </c>
      <c r="F18" s="5">
        <f t="shared" si="3"/>
        <v>39.889004509191814</v>
      </c>
      <c r="G18" s="4">
        <f t="shared" si="4"/>
        <v>73.228346456692918</v>
      </c>
      <c r="H18">
        <f t="shared" si="5"/>
        <v>6</v>
      </c>
      <c r="I18">
        <f t="shared" si="6"/>
        <v>1.2</v>
      </c>
      <c r="J18" t="str">
        <f t="shared" si="7"/>
        <v>6' 1.2"</v>
      </c>
      <c r="K18">
        <f t="shared" si="8"/>
        <v>304</v>
      </c>
      <c r="L18">
        <f t="shared" si="11"/>
        <v>16</v>
      </c>
      <c r="M18" s="8" t="e">
        <f ca="1"/>
        <v>#NAME?</v>
      </c>
      <c r="W18" s="10" t="e">
        <f t="array" aca="1" ref="W18" ca="1">SUM(ABS(TRANSPOSE($D18:$F18)-P$3:P$5)^$P$9)</f>
        <v>#DIV/0!</v>
      </c>
      <c r="X18" s="10" t="e">
        <f t="array" aca="1" ref="X18" ca="1">SUM(ABS(TRANSPOSE($D18:$F18)-Q$3:Q$5)^$P$9)</f>
        <v>#DIV/0!</v>
      </c>
      <c r="Y18" s="10" t="e">
        <f t="array" aca="1" ref="Y18" ca="1">SUM(ABS(TRANSPOSE($D18:$F18)-R$3:R$5)^$P$9)</f>
        <v>#DIV/0!</v>
      </c>
      <c r="Z18" s="10" t="e">
        <f t="array" aca="1" ref="Z18" ca="1">SUM(ABS(TRANSPOSE($D18:$F18)-S$3:S$5)^$P$9)</f>
        <v>#DIV/0!</v>
      </c>
      <c r="AA18" s="10" t="e">
        <f t="array" aca="1" ref="AA18" ca="1">SUM(ABS(TRANSPOSE($D18:$F18)-T$3:T$5)^$P$9)</f>
        <v>#DIV/0!</v>
      </c>
      <c r="AB18" s="7" t="e">
        <f t="array" aca="1" ref="AB18" ca="1">SUM(ABS(TRANSPOSE($D18:$F18)-U$3:U$5)^$P$9)</f>
        <v>#DIV/0!</v>
      </c>
      <c r="AC18" s="7" t="e">
        <f t="shared" ca="1" si="10"/>
        <v>#DIV/0!</v>
      </c>
    </row>
    <row r="19" spans="1:29">
      <c r="A19" s="1" t="s">
        <v>101</v>
      </c>
      <c r="B19" s="1"/>
      <c r="C19" s="1" t="s">
        <v>31</v>
      </c>
      <c r="D19" s="2">
        <v>185</v>
      </c>
      <c r="E19" s="2">
        <v>164</v>
      </c>
      <c r="F19" s="5">
        <f t="shared" si="3"/>
        <v>47.918188458728999</v>
      </c>
      <c r="G19" s="4">
        <f t="shared" si="4"/>
        <v>72.834645669291348</v>
      </c>
      <c r="H19">
        <f t="shared" si="5"/>
        <v>6</v>
      </c>
      <c r="I19">
        <f t="shared" si="6"/>
        <v>0.8</v>
      </c>
      <c r="J19" t="str">
        <f t="shared" si="7"/>
        <v>6' 0.8"</v>
      </c>
      <c r="K19">
        <f t="shared" si="8"/>
        <v>362</v>
      </c>
      <c r="L19">
        <f t="shared" si="11"/>
        <v>17</v>
      </c>
      <c r="M19" s="8" t="e">
        <f ca="1"/>
        <v>#NAME?</v>
      </c>
      <c r="W19" s="10" t="e">
        <f t="array" aca="1" ref="W19" ca="1">SUM(ABS(TRANSPOSE($D19:$F19)-P$3:P$5)^$P$9)</f>
        <v>#DIV/0!</v>
      </c>
      <c r="X19" s="10" t="e">
        <f t="array" aca="1" ref="X19" ca="1">SUM(ABS(TRANSPOSE($D19:$F19)-Q$3:Q$5)^$P$9)</f>
        <v>#DIV/0!</v>
      </c>
      <c r="Y19" s="10" t="e">
        <f t="array" aca="1" ref="Y19" ca="1">SUM(ABS(TRANSPOSE($D19:$F19)-R$3:R$5)^$P$9)</f>
        <v>#DIV/0!</v>
      </c>
      <c r="Z19" s="10" t="e">
        <f t="array" aca="1" ref="Z19" ca="1">SUM(ABS(TRANSPOSE($D19:$F19)-S$3:S$5)^$P$9)</f>
        <v>#DIV/0!</v>
      </c>
      <c r="AA19" s="10" t="e">
        <f t="array" aca="1" ref="AA19" ca="1">SUM(ABS(TRANSPOSE($D19:$F19)-T$3:T$5)^$P$9)</f>
        <v>#DIV/0!</v>
      </c>
      <c r="AB19" s="7" t="e">
        <f t="array" aca="1" ref="AB19" ca="1">SUM(ABS(TRANSPOSE($D19:$F19)-U$3:U$5)^$P$9)</f>
        <v>#DIV/0!</v>
      </c>
      <c r="AC19" s="7" t="e">
        <f t="shared" ca="1" si="10"/>
        <v>#DIV/0!</v>
      </c>
    </row>
    <row r="20" spans="1:29">
      <c r="A20" s="1" t="s">
        <v>102</v>
      </c>
      <c r="B20" s="1"/>
      <c r="C20" s="1" t="s">
        <v>32</v>
      </c>
      <c r="D20" s="2">
        <v>185</v>
      </c>
      <c r="E20" s="2">
        <v>140</v>
      </c>
      <c r="F20" s="5">
        <f t="shared" si="3"/>
        <v>40.905770635500367</v>
      </c>
      <c r="G20" s="4">
        <f t="shared" si="4"/>
        <v>72.834645669291348</v>
      </c>
      <c r="H20">
        <f t="shared" si="5"/>
        <v>6</v>
      </c>
      <c r="I20">
        <f t="shared" si="6"/>
        <v>0.8</v>
      </c>
      <c r="J20" t="str">
        <f t="shared" si="7"/>
        <v>6' 0.8"</v>
      </c>
      <c r="K20">
        <f t="shared" si="8"/>
        <v>309</v>
      </c>
      <c r="L20">
        <f t="shared" si="11"/>
        <v>18</v>
      </c>
      <c r="M20" s="8" t="e">
        <f ca="1"/>
        <v>#NAME?</v>
      </c>
      <c r="W20" s="10" t="e">
        <f t="array" aca="1" ref="W20" ca="1">SUM(ABS(TRANSPOSE($D20:$F20)-P$3:P$5)^$P$9)</f>
        <v>#DIV/0!</v>
      </c>
      <c r="X20" s="10" t="e">
        <f t="array" aca="1" ref="X20" ca="1">SUM(ABS(TRANSPOSE($D20:$F20)-Q$3:Q$5)^$P$9)</f>
        <v>#DIV/0!</v>
      </c>
      <c r="Y20" s="10" t="e">
        <f t="array" aca="1" ref="Y20" ca="1">SUM(ABS(TRANSPOSE($D20:$F20)-R$3:R$5)^$P$9)</f>
        <v>#DIV/0!</v>
      </c>
      <c r="Z20" s="10" t="e">
        <f t="array" aca="1" ref="Z20" ca="1">SUM(ABS(TRANSPOSE($D20:$F20)-S$3:S$5)^$P$9)</f>
        <v>#DIV/0!</v>
      </c>
      <c r="AA20" s="10" t="e">
        <f t="array" aca="1" ref="AA20" ca="1">SUM(ABS(TRANSPOSE($D20:$F20)-T$3:T$5)^$P$9)</f>
        <v>#DIV/0!</v>
      </c>
      <c r="AB20" s="7" t="e">
        <f t="array" aca="1" ref="AB20" ca="1">SUM(ABS(TRANSPOSE($D20:$F20)-U$3:U$5)^$P$9)</f>
        <v>#DIV/0!</v>
      </c>
      <c r="AC20" s="7" t="e">
        <f t="shared" ca="1" si="10"/>
        <v>#DIV/0!</v>
      </c>
    </row>
    <row r="21" spans="1:29">
      <c r="A21" s="1" t="s">
        <v>103</v>
      </c>
      <c r="B21" s="1"/>
      <c r="C21" s="1" t="s">
        <v>33</v>
      </c>
      <c r="D21" s="2">
        <v>185</v>
      </c>
      <c r="E21" s="2">
        <v>168</v>
      </c>
      <c r="F21" s="5">
        <f t="shared" si="3"/>
        <v>49.086924762600439</v>
      </c>
      <c r="G21" s="4">
        <f t="shared" si="4"/>
        <v>72.834645669291348</v>
      </c>
      <c r="H21">
        <f t="shared" si="5"/>
        <v>6</v>
      </c>
      <c r="I21">
        <f t="shared" si="6"/>
        <v>0.8</v>
      </c>
      <c r="J21" t="str">
        <f t="shared" si="7"/>
        <v>6' 0.8"</v>
      </c>
      <c r="K21">
        <f t="shared" si="8"/>
        <v>370</v>
      </c>
      <c r="L21">
        <f t="shared" si="11"/>
        <v>19</v>
      </c>
      <c r="M21" s="8" t="e">
        <f ca="1"/>
        <v>#NAME?</v>
      </c>
      <c r="W21" s="10" t="e">
        <f t="array" aca="1" ref="W21" ca="1">SUM(ABS(TRANSPOSE($D21:$F21)-P$3:P$5)^$P$9)</f>
        <v>#DIV/0!</v>
      </c>
      <c r="X21" s="10" t="e">
        <f t="array" aca="1" ref="X21" ca="1">SUM(ABS(TRANSPOSE($D21:$F21)-Q$3:Q$5)^$P$9)</f>
        <v>#DIV/0!</v>
      </c>
      <c r="Y21" s="10" t="e">
        <f t="array" aca="1" ref="Y21" ca="1">SUM(ABS(TRANSPOSE($D21:$F21)-R$3:R$5)^$P$9)</f>
        <v>#DIV/0!</v>
      </c>
      <c r="Z21" s="10" t="e">
        <f t="array" aca="1" ref="Z21" ca="1">SUM(ABS(TRANSPOSE($D21:$F21)-S$3:S$5)^$P$9)</f>
        <v>#DIV/0!</v>
      </c>
      <c r="AA21" s="10" t="e">
        <f t="array" aca="1" ref="AA21" ca="1">SUM(ABS(TRANSPOSE($D21:$F21)-T$3:T$5)^$P$9)</f>
        <v>#DIV/0!</v>
      </c>
      <c r="AB21" s="7" t="e">
        <f t="array" aca="1" ref="AB21" ca="1">SUM(ABS(TRANSPOSE($D21:$F21)-U$3:U$5)^$P$9)</f>
        <v>#DIV/0!</v>
      </c>
      <c r="AC21" s="7" t="e">
        <f t="shared" ca="1" si="10"/>
        <v>#DIV/0!</v>
      </c>
    </row>
    <row r="22" spans="1:29">
      <c r="A22" s="1" t="s">
        <v>104</v>
      </c>
      <c r="B22" s="1"/>
      <c r="C22" s="1" t="s">
        <v>34</v>
      </c>
      <c r="D22" s="2">
        <v>185</v>
      </c>
      <c r="E22" s="2">
        <v>168</v>
      </c>
      <c r="F22" s="5">
        <f t="shared" si="3"/>
        <v>49.086924762600439</v>
      </c>
      <c r="G22" s="4">
        <f t="shared" si="4"/>
        <v>72.834645669291348</v>
      </c>
      <c r="H22">
        <f t="shared" si="5"/>
        <v>6</v>
      </c>
      <c r="I22">
        <f t="shared" si="6"/>
        <v>0.8</v>
      </c>
      <c r="J22" t="str">
        <f t="shared" si="7"/>
        <v>6' 0.8"</v>
      </c>
      <c r="K22">
        <f t="shared" si="8"/>
        <v>370</v>
      </c>
      <c r="L22">
        <f t="shared" si="11"/>
        <v>20</v>
      </c>
      <c r="M22" s="8" t="e">
        <f ca="1"/>
        <v>#NAME?</v>
      </c>
      <c r="W22" s="10" t="e">
        <f t="array" aca="1" ref="W22" ca="1">SUM(ABS(TRANSPOSE($D22:$F22)-P$3:P$5)^$P$9)</f>
        <v>#DIV/0!</v>
      </c>
      <c r="X22" s="10" t="e">
        <f t="array" aca="1" ref="X22" ca="1">SUM(ABS(TRANSPOSE($D22:$F22)-Q$3:Q$5)^$P$9)</f>
        <v>#DIV/0!</v>
      </c>
      <c r="Y22" s="10" t="e">
        <f t="array" aca="1" ref="Y22" ca="1">SUM(ABS(TRANSPOSE($D22:$F22)-R$3:R$5)^$P$9)</f>
        <v>#DIV/0!</v>
      </c>
      <c r="Z22" s="10" t="e">
        <f t="array" aca="1" ref="Z22" ca="1">SUM(ABS(TRANSPOSE($D22:$F22)-S$3:S$5)^$P$9)</f>
        <v>#DIV/0!</v>
      </c>
      <c r="AA22" s="10" t="e">
        <f t="array" aca="1" ref="AA22" ca="1">SUM(ABS(TRANSPOSE($D22:$F22)-T$3:T$5)^$P$9)</f>
        <v>#DIV/0!</v>
      </c>
      <c r="AB22" s="7" t="e">
        <f t="array" aca="1" ref="AB22" ca="1">SUM(ABS(TRANSPOSE($D22:$F22)-U$3:U$5)^$P$9)</f>
        <v>#DIV/0!</v>
      </c>
      <c r="AC22" s="7" t="e">
        <f t="shared" ca="1" si="10"/>
        <v>#DIV/0!</v>
      </c>
    </row>
    <row r="23" spans="1:29">
      <c r="A23" s="1" t="s">
        <v>105</v>
      </c>
      <c r="B23" s="1"/>
      <c r="C23" s="1" t="s">
        <v>35</v>
      </c>
      <c r="D23" s="2">
        <v>185</v>
      </c>
      <c r="E23" s="2">
        <v>168</v>
      </c>
      <c r="F23" s="5">
        <f t="shared" si="3"/>
        <v>49.086924762600439</v>
      </c>
      <c r="G23" s="4">
        <f t="shared" si="4"/>
        <v>72.834645669291348</v>
      </c>
      <c r="H23">
        <f t="shared" si="5"/>
        <v>6</v>
      </c>
      <c r="I23">
        <f t="shared" si="6"/>
        <v>0.8</v>
      </c>
      <c r="J23" t="str">
        <f t="shared" si="7"/>
        <v>6' 0.8"</v>
      </c>
      <c r="K23">
        <f t="shared" si="8"/>
        <v>370</v>
      </c>
      <c r="L23">
        <f t="shared" si="11"/>
        <v>21</v>
      </c>
      <c r="M23" s="8" t="e">
        <f ca="1"/>
        <v>#NAME?</v>
      </c>
      <c r="W23" s="10" t="e">
        <f t="array" aca="1" ref="W23" ca="1">SUM(ABS(TRANSPOSE($D23:$F23)-P$3:P$5)^$P$9)</f>
        <v>#DIV/0!</v>
      </c>
      <c r="X23" s="10" t="e">
        <f t="array" aca="1" ref="X23" ca="1">SUM(ABS(TRANSPOSE($D23:$F23)-Q$3:Q$5)^$P$9)</f>
        <v>#DIV/0!</v>
      </c>
      <c r="Y23" s="10" t="e">
        <f t="array" aca="1" ref="Y23" ca="1">SUM(ABS(TRANSPOSE($D23:$F23)-R$3:R$5)^$P$9)</f>
        <v>#DIV/0!</v>
      </c>
      <c r="Z23" s="10" t="e">
        <f t="array" aca="1" ref="Z23" ca="1">SUM(ABS(TRANSPOSE($D23:$F23)-S$3:S$5)^$P$9)</f>
        <v>#DIV/0!</v>
      </c>
      <c r="AA23" s="10" t="e">
        <f t="array" aca="1" ref="AA23" ca="1">SUM(ABS(TRANSPOSE($D23:$F23)-T$3:T$5)^$P$9)</f>
        <v>#DIV/0!</v>
      </c>
      <c r="AB23" s="7" t="e">
        <f t="array" aca="1" ref="AB23" ca="1">SUM(ABS(TRANSPOSE($D23:$F23)-U$3:U$5)^$P$9)</f>
        <v>#DIV/0!</v>
      </c>
      <c r="AC23" s="7" t="e">
        <f t="shared" ca="1" si="10"/>
        <v>#DIV/0!</v>
      </c>
    </row>
    <row r="24" spans="1:29">
      <c r="A24" s="1" t="s">
        <v>106</v>
      </c>
      <c r="B24" s="1"/>
      <c r="C24" s="1" t="s">
        <v>36</v>
      </c>
      <c r="D24" s="2">
        <v>184</v>
      </c>
      <c r="E24" s="2">
        <v>167</v>
      </c>
      <c r="F24" s="5">
        <f t="shared" si="3"/>
        <v>49.326559546313803</v>
      </c>
      <c r="G24" s="4">
        <f t="shared" si="4"/>
        <v>72.440944881889763</v>
      </c>
      <c r="H24">
        <f t="shared" si="5"/>
        <v>6</v>
      </c>
      <c r="I24">
        <f t="shared" si="6"/>
        <v>0.4</v>
      </c>
      <c r="J24" t="str">
        <f t="shared" si="7"/>
        <v>6' 0.4"</v>
      </c>
      <c r="K24">
        <f t="shared" si="8"/>
        <v>368</v>
      </c>
      <c r="L24">
        <f t="shared" si="11"/>
        <v>22</v>
      </c>
      <c r="M24" s="8" t="e">
        <f ca="1"/>
        <v>#NAME?</v>
      </c>
      <c r="W24" s="10" t="e">
        <f t="array" aca="1" ref="W24" ca="1">SUM(ABS(TRANSPOSE($D24:$F24)-P$3:P$5)^$P$9)</f>
        <v>#DIV/0!</v>
      </c>
      <c r="X24" s="10" t="e">
        <f t="array" aca="1" ref="X24" ca="1">SUM(ABS(TRANSPOSE($D24:$F24)-Q$3:Q$5)^$P$9)</f>
        <v>#DIV/0!</v>
      </c>
      <c r="Y24" s="10" t="e">
        <f t="array" aca="1" ref="Y24" ca="1">SUM(ABS(TRANSPOSE($D24:$F24)-R$3:R$5)^$P$9)</f>
        <v>#DIV/0!</v>
      </c>
      <c r="Z24" s="10" t="e">
        <f t="array" aca="1" ref="Z24" ca="1">SUM(ABS(TRANSPOSE($D24:$F24)-S$3:S$5)^$P$9)</f>
        <v>#DIV/0!</v>
      </c>
      <c r="AA24" s="10" t="e">
        <f t="array" aca="1" ref="AA24" ca="1">SUM(ABS(TRANSPOSE($D24:$F24)-T$3:T$5)^$P$9)</f>
        <v>#DIV/0!</v>
      </c>
      <c r="AB24" s="7" t="e">
        <f t="array" aca="1" ref="AB24" ca="1">SUM(ABS(TRANSPOSE($D24:$F24)-U$3:U$5)^$P$9)</f>
        <v>#DIV/0!</v>
      </c>
      <c r="AC24" s="7" t="e">
        <f t="shared" ca="1" si="10"/>
        <v>#DIV/0!</v>
      </c>
    </row>
    <row r="25" spans="1:29">
      <c r="A25" s="1" t="s">
        <v>107</v>
      </c>
      <c r="B25" s="1"/>
      <c r="C25" s="1" t="s">
        <v>37</v>
      </c>
      <c r="D25" s="2">
        <v>184</v>
      </c>
      <c r="E25" s="2">
        <v>174</v>
      </c>
      <c r="F25" s="5">
        <f t="shared" si="3"/>
        <v>51.394139886578444</v>
      </c>
      <c r="G25" s="4">
        <f t="shared" si="4"/>
        <v>72.440944881889763</v>
      </c>
      <c r="H25">
        <f t="shared" si="5"/>
        <v>6</v>
      </c>
      <c r="I25">
        <f t="shared" si="6"/>
        <v>0.4</v>
      </c>
      <c r="J25" t="str">
        <f t="shared" si="7"/>
        <v>6' 0.4"</v>
      </c>
      <c r="K25">
        <f t="shared" si="8"/>
        <v>384</v>
      </c>
      <c r="L25">
        <f t="shared" si="11"/>
        <v>23</v>
      </c>
      <c r="M25" s="8" t="e">
        <f ca="1"/>
        <v>#NAME?</v>
      </c>
      <c r="W25" s="10" t="e">
        <f t="array" aca="1" ref="W25" ca="1">SUM(ABS(TRANSPOSE($D25:$F25)-P$3:P$5)^$P$9)</f>
        <v>#DIV/0!</v>
      </c>
      <c r="X25" s="10" t="e">
        <f t="array" aca="1" ref="X25" ca="1">SUM(ABS(TRANSPOSE($D25:$F25)-Q$3:Q$5)^$P$9)</f>
        <v>#DIV/0!</v>
      </c>
      <c r="Y25" s="10" t="e">
        <f t="array" aca="1" ref="Y25" ca="1">SUM(ABS(TRANSPOSE($D25:$F25)-R$3:R$5)^$P$9)</f>
        <v>#DIV/0!</v>
      </c>
      <c r="Z25" s="10" t="e">
        <f t="array" aca="1" ref="Z25" ca="1">SUM(ABS(TRANSPOSE($D25:$F25)-S$3:S$5)^$P$9)</f>
        <v>#DIV/0!</v>
      </c>
      <c r="AA25" s="10" t="e">
        <f t="array" aca="1" ref="AA25" ca="1">SUM(ABS(TRANSPOSE($D25:$F25)-T$3:T$5)^$P$9)</f>
        <v>#DIV/0!</v>
      </c>
      <c r="AB25" s="7" t="e">
        <f t="array" aca="1" ref="AB25" ca="1">SUM(ABS(TRANSPOSE($D25:$F25)-U$3:U$5)^$P$9)</f>
        <v>#DIV/0!</v>
      </c>
      <c r="AC25" s="7" t="e">
        <f t="shared" ca="1" si="10"/>
        <v>#DIV/0!</v>
      </c>
    </row>
    <row r="26" spans="1:29">
      <c r="A26" s="1" t="s">
        <v>108</v>
      </c>
      <c r="B26" s="1"/>
      <c r="C26" s="1" t="s">
        <v>38</v>
      </c>
      <c r="D26" s="2">
        <v>184</v>
      </c>
      <c r="E26" s="2">
        <v>200</v>
      </c>
      <c r="F26" s="5">
        <f t="shared" si="3"/>
        <v>59.073724007561438</v>
      </c>
      <c r="G26" s="4">
        <f t="shared" si="4"/>
        <v>72.440944881889763</v>
      </c>
      <c r="H26">
        <f t="shared" si="5"/>
        <v>6</v>
      </c>
      <c r="I26">
        <f t="shared" si="6"/>
        <v>0.4</v>
      </c>
      <c r="J26" t="str">
        <f t="shared" si="7"/>
        <v>6' 0.4"</v>
      </c>
      <c r="K26">
        <f t="shared" si="8"/>
        <v>441</v>
      </c>
      <c r="L26">
        <f t="shared" si="11"/>
        <v>24</v>
      </c>
      <c r="M26" s="8" t="e">
        <f ca="1"/>
        <v>#NAME?</v>
      </c>
      <c r="W26" s="10" t="e">
        <f t="array" aca="1" ref="W26" ca="1">SUM(ABS(TRANSPOSE($D26:$F26)-P$3:P$5)^$P$9)</f>
        <v>#DIV/0!</v>
      </c>
      <c r="X26" s="10" t="e">
        <f t="array" aca="1" ref="X26" ca="1">SUM(ABS(TRANSPOSE($D26:$F26)-Q$3:Q$5)^$P$9)</f>
        <v>#DIV/0!</v>
      </c>
      <c r="Y26" s="10" t="e">
        <f t="array" aca="1" ref="Y26" ca="1">SUM(ABS(TRANSPOSE($D26:$F26)-R$3:R$5)^$P$9)</f>
        <v>#DIV/0!</v>
      </c>
      <c r="Z26" s="10" t="e">
        <f t="array" aca="1" ref="Z26" ca="1">SUM(ABS(TRANSPOSE($D26:$F26)-S$3:S$5)^$P$9)</f>
        <v>#DIV/0!</v>
      </c>
      <c r="AA26" s="10" t="e">
        <f t="array" aca="1" ref="AA26" ca="1">SUM(ABS(TRANSPOSE($D26:$F26)-T$3:T$5)^$P$9)</f>
        <v>#DIV/0!</v>
      </c>
      <c r="AB26" s="7" t="e">
        <f t="array" aca="1" ref="AB26" ca="1">SUM(ABS(TRANSPOSE($D26:$F26)-U$3:U$5)^$P$9)</f>
        <v>#DIV/0!</v>
      </c>
      <c r="AC26" s="7" t="e">
        <f t="shared" ca="1" si="10"/>
        <v>#DIV/0!</v>
      </c>
    </row>
    <row r="27" spans="1:29">
      <c r="A27" s="1" t="s">
        <v>109</v>
      </c>
      <c r="B27" s="1">
        <v>1</v>
      </c>
      <c r="C27" s="1" t="s">
        <v>39</v>
      </c>
      <c r="D27" s="2">
        <v>183</v>
      </c>
      <c r="E27" s="2">
        <v>167</v>
      </c>
      <c r="F27" s="5">
        <f t="shared" si="3"/>
        <v>49.867120547045296</v>
      </c>
      <c r="G27" s="4">
        <f t="shared" si="4"/>
        <v>72.047244094488192</v>
      </c>
      <c r="H27">
        <f t="shared" si="5"/>
        <v>6</v>
      </c>
      <c r="I27">
        <f t="shared" si="6"/>
        <v>0</v>
      </c>
      <c r="J27" t="str">
        <f t="shared" si="7"/>
        <v>6' 0"</v>
      </c>
      <c r="K27">
        <f t="shared" si="8"/>
        <v>368</v>
      </c>
      <c r="L27">
        <f t="shared" si="11"/>
        <v>25</v>
      </c>
      <c r="M27" s="8" t="e">
        <f ca="1"/>
        <v>#NAME?</v>
      </c>
      <c r="W27" s="10" t="e">
        <f t="array" aca="1" ref="W27" ca="1">SUM(ABS(TRANSPOSE($D27:$F27)-P$3:P$5)^$P$9)</f>
        <v>#DIV/0!</v>
      </c>
      <c r="X27" s="10" t="e">
        <f t="array" aca="1" ref="X27" ca="1">SUM(ABS(TRANSPOSE($D27:$F27)-Q$3:Q$5)^$P$9)</f>
        <v>#DIV/0!</v>
      </c>
      <c r="Y27" s="10" t="e">
        <f t="array" aca="1" ref="Y27" ca="1">SUM(ABS(TRANSPOSE($D27:$F27)-R$3:R$5)^$P$9)</f>
        <v>#DIV/0!</v>
      </c>
      <c r="Z27" s="10" t="e">
        <f t="array" aca="1" ref="Z27" ca="1">SUM(ABS(TRANSPOSE($D27:$F27)-S$3:S$5)^$P$9)</f>
        <v>#DIV/0!</v>
      </c>
      <c r="AA27" s="10" t="e">
        <f t="array" aca="1" ref="AA27" ca="1">SUM(ABS(TRANSPOSE($D27:$F27)-T$3:T$5)^$P$9)</f>
        <v>#DIV/0!</v>
      </c>
      <c r="AB27" s="7" t="e">
        <f t="array" aca="1" ref="AB27" ca="1">SUM(ABS(TRANSPOSE($D27:$F27)-U$3:U$5)^$P$9)</f>
        <v>#DIV/0!</v>
      </c>
      <c r="AC27" s="7" t="e">
        <f t="shared" ca="1" si="10"/>
        <v>#DIV/0!</v>
      </c>
    </row>
    <row r="28" spans="1:29">
      <c r="A28" s="1" t="s">
        <v>110</v>
      </c>
      <c r="B28" s="1"/>
      <c r="C28" s="1" t="s">
        <v>40</v>
      </c>
      <c r="D28" s="2">
        <v>183</v>
      </c>
      <c r="E28" s="2">
        <v>141</v>
      </c>
      <c r="F28" s="5">
        <f t="shared" si="3"/>
        <v>42.103377228343632</v>
      </c>
      <c r="G28" s="4">
        <f t="shared" si="4"/>
        <v>72.047244094488192</v>
      </c>
      <c r="H28">
        <f t="shared" si="5"/>
        <v>6</v>
      </c>
      <c r="I28">
        <f t="shared" si="6"/>
        <v>0</v>
      </c>
      <c r="J28" t="str">
        <f t="shared" si="7"/>
        <v>6' 0"</v>
      </c>
      <c r="K28">
        <f t="shared" si="8"/>
        <v>311</v>
      </c>
      <c r="L28">
        <f t="shared" si="11"/>
        <v>26</v>
      </c>
      <c r="M28" s="8" t="e">
        <f ca="1"/>
        <v>#NAME?</v>
      </c>
      <c r="W28" s="10" t="e">
        <f t="array" aca="1" ref="W28" ca="1">SUM(ABS(TRANSPOSE($D28:$F28)-P$3:P$5)^$P$9)</f>
        <v>#DIV/0!</v>
      </c>
      <c r="X28" s="10" t="e">
        <f t="array" aca="1" ref="X28" ca="1">SUM(ABS(TRANSPOSE($D28:$F28)-Q$3:Q$5)^$P$9)</f>
        <v>#DIV/0!</v>
      </c>
      <c r="Y28" s="10" t="e">
        <f t="array" aca="1" ref="Y28" ca="1">SUM(ABS(TRANSPOSE($D28:$F28)-R$3:R$5)^$P$9)</f>
        <v>#DIV/0!</v>
      </c>
      <c r="Z28" s="10" t="e">
        <f t="array" aca="1" ref="Z28" ca="1">SUM(ABS(TRANSPOSE($D28:$F28)-S$3:S$5)^$P$9)</f>
        <v>#DIV/0!</v>
      </c>
      <c r="AA28" s="10" t="e">
        <f t="array" aca="1" ref="AA28" ca="1">SUM(ABS(TRANSPOSE($D28:$F28)-T$3:T$5)^$P$9)</f>
        <v>#DIV/0!</v>
      </c>
      <c r="AB28" s="7" t="e">
        <f t="array" aca="1" ref="AB28" ca="1">SUM(ABS(TRANSPOSE($D28:$F28)-U$3:U$5)^$P$9)</f>
        <v>#DIV/0!</v>
      </c>
      <c r="AC28" s="7" t="e">
        <f t="shared" ca="1" si="10"/>
        <v>#DIV/0!</v>
      </c>
    </row>
    <row r="29" spans="1:29">
      <c r="A29" s="1" t="s">
        <v>111</v>
      </c>
      <c r="B29" s="1"/>
      <c r="C29" s="1" t="s">
        <v>41</v>
      </c>
      <c r="D29" s="2">
        <v>183</v>
      </c>
      <c r="E29" s="2">
        <v>140</v>
      </c>
      <c r="F29" s="5">
        <f t="shared" si="3"/>
        <v>41.804771716085874</v>
      </c>
      <c r="G29" s="4">
        <f t="shared" si="4"/>
        <v>72.047244094488192</v>
      </c>
      <c r="H29">
        <f t="shared" si="5"/>
        <v>6</v>
      </c>
      <c r="I29">
        <f t="shared" si="6"/>
        <v>0</v>
      </c>
      <c r="J29" t="str">
        <f t="shared" si="7"/>
        <v>6' 0"</v>
      </c>
      <c r="K29">
        <f t="shared" si="8"/>
        <v>309</v>
      </c>
      <c r="L29">
        <f t="shared" si="11"/>
        <v>27</v>
      </c>
      <c r="M29" s="8" t="e">
        <f ca="1"/>
        <v>#NAME?</v>
      </c>
      <c r="W29" s="10" t="e">
        <f t="array" aca="1" ref="W29" ca="1">SUM(ABS(TRANSPOSE($D29:$F29)-P$3:P$5)^$P$9)</f>
        <v>#DIV/0!</v>
      </c>
      <c r="X29" s="10" t="e">
        <f t="array" aca="1" ref="X29" ca="1">SUM(ABS(TRANSPOSE($D29:$F29)-Q$3:Q$5)^$P$9)</f>
        <v>#DIV/0!</v>
      </c>
      <c r="Y29" s="10" t="e">
        <f t="array" aca="1" ref="Y29" ca="1">SUM(ABS(TRANSPOSE($D29:$F29)-R$3:R$5)^$P$9)</f>
        <v>#DIV/0!</v>
      </c>
      <c r="Z29" s="10" t="e">
        <f t="array" aca="1" ref="Z29" ca="1">SUM(ABS(TRANSPOSE($D29:$F29)-S$3:S$5)^$P$9)</f>
        <v>#DIV/0!</v>
      </c>
      <c r="AA29" s="10" t="e">
        <f t="array" aca="1" ref="AA29" ca="1">SUM(ABS(TRANSPOSE($D29:$F29)-T$3:T$5)^$P$9)</f>
        <v>#DIV/0!</v>
      </c>
      <c r="AB29" s="7" t="e">
        <f t="array" aca="1" ref="AB29" ca="1">SUM(ABS(TRANSPOSE($D29:$F29)-U$3:U$5)^$P$9)</f>
        <v>#DIV/0!</v>
      </c>
      <c r="AC29" s="7" t="e">
        <f t="shared" ca="1" si="10"/>
        <v>#DIV/0!</v>
      </c>
    </row>
    <row r="30" spans="1:29">
      <c r="A30" s="1" t="s">
        <v>112</v>
      </c>
      <c r="B30" s="1">
        <v>1</v>
      </c>
      <c r="C30" s="1" t="s">
        <v>42</v>
      </c>
      <c r="D30" s="2">
        <v>182</v>
      </c>
      <c r="E30" s="2">
        <v>162</v>
      </c>
      <c r="F30" s="5">
        <f t="shared" si="3"/>
        <v>48.907136819224732</v>
      </c>
      <c r="G30" s="4">
        <f t="shared" si="4"/>
        <v>71.653543307086608</v>
      </c>
      <c r="H30">
        <f t="shared" si="5"/>
        <v>5</v>
      </c>
      <c r="I30">
        <f t="shared" si="6"/>
        <v>11.7</v>
      </c>
      <c r="J30" t="str">
        <f t="shared" si="7"/>
        <v>5' 11.7"</v>
      </c>
      <c r="K30">
        <f t="shared" si="8"/>
        <v>357</v>
      </c>
      <c r="L30">
        <f t="shared" si="11"/>
        <v>28</v>
      </c>
      <c r="M30" s="8" t="e">
        <f ca="1"/>
        <v>#NAME?</v>
      </c>
      <c r="W30" s="10" t="e">
        <f t="array" aca="1" ref="W30" ca="1">SUM(ABS(TRANSPOSE($D30:$F30)-P$3:P$5)^$P$9)</f>
        <v>#DIV/0!</v>
      </c>
      <c r="X30" s="10" t="e">
        <f t="array" aca="1" ref="X30" ca="1">SUM(ABS(TRANSPOSE($D30:$F30)-Q$3:Q$5)^$P$9)</f>
        <v>#DIV/0!</v>
      </c>
      <c r="Y30" s="10" t="e">
        <f t="array" aca="1" ref="Y30" ca="1">SUM(ABS(TRANSPOSE($D30:$F30)-R$3:R$5)^$P$9)</f>
        <v>#DIV/0!</v>
      </c>
      <c r="Z30" s="10" t="e">
        <f t="array" aca="1" ref="Z30" ca="1">SUM(ABS(TRANSPOSE($D30:$F30)-S$3:S$5)^$P$9)</f>
        <v>#DIV/0!</v>
      </c>
      <c r="AA30" s="10" t="e">
        <f t="array" aca="1" ref="AA30" ca="1">SUM(ABS(TRANSPOSE($D30:$F30)-T$3:T$5)^$P$9)</f>
        <v>#DIV/0!</v>
      </c>
      <c r="AB30" s="7" t="e">
        <f t="array" aca="1" ref="AB30" ca="1">SUM(ABS(TRANSPOSE($D30:$F30)-U$3:U$5)^$P$9)</f>
        <v>#DIV/0!</v>
      </c>
      <c r="AC30" s="7" t="e">
        <f t="shared" ca="1" si="10"/>
        <v>#DIV/0!</v>
      </c>
    </row>
    <row r="31" spans="1:29">
      <c r="A31" s="1" t="s">
        <v>113</v>
      </c>
      <c r="B31" s="1"/>
      <c r="C31" s="1" t="s">
        <v>43</v>
      </c>
      <c r="D31" s="2">
        <v>181</v>
      </c>
      <c r="E31" s="2">
        <v>189</v>
      </c>
      <c r="F31" s="5">
        <f t="shared" si="3"/>
        <v>57.690546686609082</v>
      </c>
      <c r="G31" s="4">
        <f t="shared" si="4"/>
        <v>71.259842519685037</v>
      </c>
      <c r="H31">
        <f t="shared" si="5"/>
        <v>5</v>
      </c>
      <c r="I31">
        <f t="shared" si="6"/>
        <v>11.3</v>
      </c>
      <c r="J31" t="str">
        <f t="shared" si="7"/>
        <v>5' 11.3"</v>
      </c>
      <c r="K31">
        <f t="shared" si="8"/>
        <v>417</v>
      </c>
      <c r="L31">
        <f t="shared" si="11"/>
        <v>29</v>
      </c>
      <c r="M31" s="8" t="e">
        <f ca="1"/>
        <v>#NAME?</v>
      </c>
      <c r="W31" s="10" t="e">
        <f t="array" aca="1" ref="W31" ca="1">SUM(ABS(TRANSPOSE($D31:$F31)-P$3:P$5)^$P$9)</f>
        <v>#DIV/0!</v>
      </c>
      <c r="X31" s="10" t="e">
        <f t="array" aca="1" ref="X31" ca="1">SUM(ABS(TRANSPOSE($D31:$F31)-Q$3:Q$5)^$P$9)</f>
        <v>#DIV/0!</v>
      </c>
      <c r="Y31" s="10" t="e">
        <f t="array" aca="1" ref="Y31" ca="1">SUM(ABS(TRANSPOSE($D31:$F31)-R$3:R$5)^$P$9)</f>
        <v>#DIV/0!</v>
      </c>
      <c r="Z31" s="10" t="e">
        <f t="array" aca="1" ref="Z31" ca="1">SUM(ABS(TRANSPOSE($D31:$F31)-S$3:S$5)^$P$9)</f>
        <v>#DIV/0!</v>
      </c>
      <c r="AA31" s="10" t="e">
        <f t="array" aca="1" ref="AA31" ca="1">SUM(ABS(TRANSPOSE($D31:$F31)-T$3:T$5)^$P$9)</f>
        <v>#DIV/0!</v>
      </c>
      <c r="AB31" s="7" t="e">
        <f t="array" aca="1" ref="AB31" ca="1">SUM(ABS(TRANSPOSE($D31:$F31)-U$3:U$5)^$P$9)</f>
        <v>#DIV/0!</v>
      </c>
      <c r="AC31" s="7" t="e">
        <f t="shared" ca="1" si="10"/>
        <v>#DIV/0!</v>
      </c>
    </row>
    <row r="32" spans="1:29">
      <c r="A32" s="1" t="s">
        <v>114</v>
      </c>
      <c r="B32" s="1"/>
      <c r="C32" s="1" t="s">
        <v>44</v>
      </c>
      <c r="D32" s="2">
        <v>182</v>
      </c>
      <c r="E32" s="2">
        <v>130</v>
      </c>
      <c r="F32" s="5">
        <f t="shared" si="3"/>
        <v>39.246467817896388</v>
      </c>
      <c r="G32" s="4">
        <f t="shared" si="4"/>
        <v>71.653543307086608</v>
      </c>
      <c r="H32">
        <f t="shared" si="5"/>
        <v>5</v>
      </c>
      <c r="I32">
        <f t="shared" si="6"/>
        <v>11.7</v>
      </c>
      <c r="J32" t="str">
        <f t="shared" si="7"/>
        <v>5' 11.7"</v>
      </c>
      <c r="K32">
        <f t="shared" si="8"/>
        <v>287</v>
      </c>
      <c r="L32">
        <f t="shared" si="11"/>
        <v>30</v>
      </c>
      <c r="M32" s="8" t="e">
        <f ca="1"/>
        <v>#NAME?</v>
      </c>
      <c r="W32" s="10" t="e">
        <f t="array" aca="1" ref="W32" ca="1">SUM(ABS(TRANSPOSE($D32:$F32)-P$3:P$5)^$P$9)</f>
        <v>#DIV/0!</v>
      </c>
      <c r="X32" s="10" t="e">
        <f t="array" aca="1" ref="X32" ca="1">SUM(ABS(TRANSPOSE($D32:$F32)-Q$3:Q$5)^$P$9)</f>
        <v>#DIV/0!</v>
      </c>
      <c r="Y32" s="10" t="e">
        <f t="array" aca="1" ref="Y32" ca="1">SUM(ABS(TRANSPOSE($D32:$F32)-R$3:R$5)^$P$9)</f>
        <v>#DIV/0!</v>
      </c>
      <c r="Z32" s="10" t="e">
        <f t="array" aca="1" ref="Z32" ca="1">SUM(ABS(TRANSPOSE($D32:$F32)-S$3:S$5)^$P$9)</f>
        <v>#DIV/0!</v>
      </c>
      <c r="AA32" s="10" t="e">
        <f t="array" aca="1" ref="AA32" ca="1">SUM(ABS(TRANSPOSE($D32:$F32)-T$3:T$5)^$P$9)</f>
        <v>#DIV/0!</v>
      </c>
      <c r="AB32" s="7" t="e">
        <f t="array" aca="1" ref="AB32" ca="1">SUM(ABS(TRANSPOSE($D32:$F32)-U$3:U$5)^$P$9)</f>
        <v>#DIV/0!</v>
      </c>
      <c r="AC32" s="7" t="e">
        <f t="shared" ca="1" si="10"/>
        <v>#DIV/0!</v>
      </c>
    </row>
    <row r="33" spans="1:29">
      <c r="A33" s="1" t="s">
        <v>115</v>
      </c>
      <c r="B33" s="1"/>
      <c r="C33" s="1" t="s">
        <v>45</v>
      </c>
      <c r="D33" s="2">
        <v>181</v>
      </c>
      <c r="E33" s="2">
        <v>146</v>
      </c>
      <c r="F33" s="5">
        <f t="shared" si="3"/>
        <v>44.565184212936117</v>
      </c>
      <c r="G33" s="4">
        <f t="shared" si="4"/>
        <v>71.259842519685037</v>
      </c>
      <c r="H33">
        <f t="shared" si="5"/>
        <v>5</v>
      </c>
      <c r="I33">
        <f t="shared" si="6"/>
        <v>11.3</v>
      </c>
      <c r="J33" t="str">
        <f t="shared" si="7"/>
        <v>5' 11.3"</v>
      </c>
      <c r="K33">
        <f t="shared" si="8"/>
        <v>322</v>
      </c>
      <c r="L33">
        <f t="shared" si="11"/>
        <v>31</v>
      </c>
      <c r="M33" s="8" t="e">
        <f ca="1"/>
        <v>#NAME?</v>
      </c>
      <c r="W33" s="10" t="e">
        <f t="array" aca="1" ref="W33" ca="1">SUM(ABS(TRANSPOSE($D33:$F33)-P$3:P$5)^$P$9)</f>
        <v>#DIV/0!</v>
      </c>
      <c r="X33" s="10" t="e">
        <f t="array" aca="1" ref="X33" ca="1">SUM(ABS(TRANSPOSE($D33:$F33)-Q$3:Q$5)^$P$9)</f>
        <v>#DIV/0!</v>
      </c>
      <c r="Y33" s="10" t="e">
        <f t="array" aca="1" ref="Y33" ca="1">SUM(ABS(TRANSPOSE($D33:$F33)-R$3:R$5)^$P$9)</f>
        <v>#DIV/0!</v>
      </c>
      <c r="Z33" s="10" t="e">
        <f t="array" aca="1" ref="Z33" ca="1">SUM(ABS(TRANSPOSE($D33:$F33)-S$3:S$5)^$P$9)</f>
        <v>#DIV/0!</v>
      </c>
      <c r="AA33" s="10" t="e">
        <f t="array" aca="1" ref="AA33" ca="1">SUM(ABS(TRANSPOSE($D33:$F33)-T$3:T$5)^$P$9)</f>
        <v>#DIV/0!</v>
      </c>
      <c r="AB33" s="7" t="e">
        <f t="array" aca="1" ref="AB33" ca="1">SUM(ABS(TRANSPOSE($D33:$F33)-U$3:U$5)^$P$9)</f>
        <v>#DIV/0!</v>
      </c>
      <c r="AC33" s="7" t="e">
        <f t="shared" ca="1" si="10"/>
        <v>#DIV/0!</v>
      </c>
    </row>
    <row r="34" spans="1:29">
      <c r="A34" s="1" t="s">
        <v>116</v>
      </c>
      <c r="B34" s="1">
        <v>2</v>
      </c>
      <c r="C34" s="1" t="s">
        <v>31</v>
      </c>
      <c r="D34" s="2">
        <v>180</v>
      </c>
      <c r="E34" s="2">
        <v>174</v>
      </c>
      <c r="F34" s="5">
        <f t="shared" si="3"/>
        <v>53.703703703703702</v>
      </c>
      <c r="G34" s="4">
        <f t="shared" si="4"/>
        <v>70.866141732283467</v>
      </c>
      <c r="H34">
        <f t="shared" si="5"/>
        <v>5</v>
      </c>
      <c r="I34">
        <f t="shared" si="6"/>
        <v>10.9</v>
      </c>
      <c r="J34" t="str">
        <f t="shared" si="7"/>
        <v>5' 10.9"</v>
      </c>
      <c r="K34">
        <f t="shared" si="8"/>
        <v>384</v>
      </c>
      <c r="L34">
        <f t="shared" si="11"/>
        <v>32</v>
      </c>
      <c r="M34" s="8" t="e">
        <f ca="1"/>
        <v>#NAME?</v>
      </c>
      <c r="W34" s="10" t="e">
        <f t="array" aca="1" ref="W34" ca="1">SUM(ABS(TRANSPOSE($D34:$F34)-P$3:P$5)^$P$9)</f>
        <v>#DIV/0!</v>
      </c>
      <c r="X34" s="10" t="e">
        <f t="array" aca="1" ref="X34" ca="1">SUM(ABS(TRANSPOSE($D34:$F34)-Q$3:Q$5)^$P$9)</f>
        <v>#DIV/0!</v>
      </c>
      <c r="Y34" s="10" t="e">
        <f t="array" aca="1" ref="Y34" ca="1">SUM(ABS(TRANSPOSE($D34:$F34)-R$3:R$5)^$P$9)</f>
        <v>#DIV/0!</v>
      </c>
      <c r="Z34" s="10" t="e">
        <f t="array" aca="1" ref="Z34" ca="1">SUM(ABS(TRANSPOSE($D34:$F34)-S$3:S$5)^$P$9)</f>
        <v>#DIV/0!</v>
      </c>
      <c r="AA34" s="10" t="e">
        <f t="array" aca="1" ref="AA34" ca="1">SUM(ABS(TRANSPOSE($D34:$F34)-T$3:T$5)^$P$9)</f>
        <v>#DIV/0!</v>
      </c>
      <c r="AB34" s="7" t="e">
        <f t="array" aca="1" ref="AB34" ca="1">SUM(ABS(TRANSPOSE($D34:$F34)-U$3:U$5)^$P$9)</f>
        <v>#DIV/0!</v>
      </c>
      <c r="AC34" s="7" t="e">
        <f t="shared" ca="1" si="10"/>
        <v>#DIV/0!</v>
      </c>
    </row>
    <row r="35" spans="1:29">
      <c r="A35" s="1" t="s">
        <v>117</v>
      </c>
      <c r="B35" s="1"/>
      <c r="C35" s="1" t="s">
        <v>42</v>
      </c>
      <c r="D35" s="2">
        <v>180</v>
      </c>
      <c r="E35" s="2">
        <v>148</v>
      </c>
      <c r="F35" s="5">
        <f t="shared" si="3"/>
        <v>45.67901234567902</v>
      </c>
      <c r="G35" s="4">
        <f t="shared" si="4"/>
        <v>70.866141732283467</v>
      </c>
      <c r="H35">
        <f t="shared" si="5"/>
        <v>5</v>
      </c>
      <c r="I35">
        <f t="shared" si="6"/>
        <v>10.9</v>
      </c>
      <c r="J35" t="str">
        <f t="shared" si="7"/>
        <v>5' 10.9"</v>
      </c>
      <c r="K35">
        <f t="shared" si="8"/>
        <v>326</v>
      </c>
      <c r="L35">
        <f t="shared" si="11"/>
        <v>33</v>
      </c>
      <c r="M35" s="8" t="e">
        <f ca="1"/>
        <v>#NAME?</v>
      </c>
      <c r="W35" s="10" t="e">
        <f t="array" aca="1" ref="W35" ca="1">SUM(ABS(TRANSPOSE($D35:$F35)-P$3:P$5)^$P$9)</f>
        <v>#DIV/0!</v>
      </c>
      <c r="X35" s="10" t="e">
        <f t="array" aca="1" ref="X35" ca="1">SUM(ABS(TRANSPOSE($D35:$F35)-Q$3:Q$5)^$P$9)</f>
        <v>#DIV/0!</v>
      </c>
      <c r="Y35" s="10" t="e">
        <f t="array" aca="1" ref="Y35" ca="1">SUM(ABS(TRANSPOSE($D35:$F35)-R$3:R$5)^$P$9)</f>
        <v>#DIV/0!</v>
      </c>
      <c r="Z35" s="10" t="e">
        <f t="array" aca="1" ref="Z35" ca="1">SUM(ABS(TRANSPOSE($D35:$F35)-S$3:S$5)^$P$9)</f>
        <v>#DIV/0!</v>
      </c>
      <c r="AA35" s="10" t="e">
        <f t="array" aca="1" ref="AA35" ca="1">SUM(ABS(TRANSPOSE($D35:$F35)-T$3:T$5)^$P$9)</f>
        <v>#DIV/0!</v>
      </c>
      <c r="AB35" s="7" t="e">
        <f t="array" aca="1" ref="AB35" ca="1">SUM(ABS(TRANSPOSE($D35:$F35)-U$3:U$5)^$P$9)</f>
        <v>#DIV/0!</v>
      </c>
      <c r="AC35" s="7" t="e">
        <f t="shared" ca="1" si="10"/>
        <v>#DIV/0!</v>
      </c>
    </row>
    <row r="36" spans="1:29">
      <c r="A36" s="1" t="s">
        <v>118</v>
      </c>
      <c r="B36" s="1"/>
      <c r="C36" s="1" t="s">
        <v>46</v>
      </c>
      <c r="D36" s="2">
        <v>179</v>
      </c>
      <c r="E36" s="2">
        <v>152</v>
      </c>
      <c r="F36" s="5">
        <f t="shared" si="3"/>
        <v>47.439218501295215</v>
      </c>
      <c r="G36" s="4">
        <f t="shared" si="4"/>
        <v>70.472440944881896</v>
      </c>
      <c r="H36">
        <f t="shared" si="5"/>
        <v>5</v>
      </c>
      <c r="I36">
        <f t="shared" si="6"/>
        <v>10.5</v>
      </c>
      <c r="J36" t="str">
        <f t="shared" si="7"/>
        <v>5' 10.5"</v>
      </c>
      <c r="K36">
        <f t="shared" si="8"/>
        <v>335</v>
      </c>
      <c r="L36">
        <f t="shared" si="11"/>
        <v>34</v>
      </c>
      <c r="M36" s="8" t="e">
        <f ca="1"/>
        <v>#NAME?</v>
      </c>
      <c r="W36" s="10" t="e">
        <f t="array" aca="1" ref="W36" ca="1">SUM(ABS(TRANSPOSE($D36:$F36)-P$3:P$5)^$P$9)</f>
        <v>#DIV/0!</v>
      </c>
      <c r="X36" s="10" t="e">
        <f t="array" aca="1" ref="X36" ca="1">SUM(ABS(TRANSPOSE($D36:$F36)-Q$3:Q$5)^$P$9)</f>
        <v>#DIV/0!</v>
      </c>
      <c r="Y36" s="10" t="e">
        <f t="array" aca="1" ref="Y36" ca="1">SUM(ABS(TRANSPOSE($D36:$F36)-R$3:R$5)^$P$9)</f>
        <v>#DIV/0!</v>
      </c>
      <c r="Z36" s="10" t="e">
        <f t="array" aca="1" ref="Z36" ca="1">SUM(ABS(TRANSPOSE($D36:$F36)-S$3:S$5)^$P$9)</f>
        <v>#DIV/0!</v>
      </c>
      <c r="AA36" s="10" t="e">
        <f t="array" aca="1" ref="AA36" ca="1">SUM(ABS(TRANSPOSE($D36:$F36)-T$3:T$5)^$P$9)</f>
        <v>#DIV/0!</v>
      </c>
      <c r="AB36" s="7" t="e">
        <f t="array" aca="1" ref="AB36" ca="1">SUM(ABS(TRANSPOSE($D36:$F36)-U$3:U$5)^$P$9)</f>
        <v>#DIV/0!</v>
      </c>
      <c r="AC36" s="7" t="e">
        <f t="shared" ca="1" si="10"/>
        <v>#DIV/0!</v>
      </c>
    </row>
    <row r="37" spans="1:29">
      <c r="A37" s="1" t="s">
        <v>119</v>
      </c>
      <c r="B37" s="1"/>
      <c r="C37" s="1" t="s">
        <v>20</v>
      </c>
      <c r="D37" s="2">
        <v>178</v>
      </c>
      <c r="E37" s="2">
        <v>176</v>
      </c>
      <c r="F37" s="5">
        <f t="shared" si="3"/>
        <v>55.548541850776424</v>
      </c>
      <c r="G37" s="4">
        <f t="shared" si="4"/>
        <v>70.078740157480311</v>
      </c>
      <c r="H37">
        <f t="shared" si="5"/>
        <v>5</v>
      </c>
      <c r="I37">
        <f t="shared" si="6"/>
        <v>10.1</v>
      </c>
      <c r="J37" t="str">
        <f t="shared" si="7"/>
        <v>5' 10.1"</v>
      </c>
      <c r="K37">
        <f t="shared" si="8"/>
        <v>388</v>
      </c>
      <c r="L37">
        <f t="shared" si="11"/>
        <v>35</v>
      </c>
      <c r="M37" s="8" t="e">
        <f ca="1"/>
        <v>#NAME?</v>
      </c>
      <c r="W37" s="10" t="e">
        <f t="array" aca="1" ref="W37" ca="1">SUM(ABS(TRANSPOSE($D37:$F37)-P$3:P$5)^$P$9)</f>
        <v>#DIV/0!</v>
      </c>
      <c r="X37" s="10" t="e">
        <f t="array" aca="1" ref="X37" ca="1">SUM(ABS(TRANSPOSE($D37:$F37)-Q$3:Q$5)^$P$9)</f>
        <v>#DIV/0!</v>
      </c>
      <c r="Y37" s="10" t="e">
        <f t="array" aca="1" ref="Y37" ca="1">SUM(ABS(TRANSPOSE($D37:$F37)-R$3:R$5)^$P$9)</f>
        <v>#DIV/0!</v>
      </c>
      <c r="Z37" s="10" t="e">
        <f t="array" aca="1" ref="Z37" ca="1">SUM(ABS(TRANSPOSE($D37:$F37)-S$3:S$5)^$P$9)</f>
        <v>#DIV/0!</v>
      </c>
      <c r="AA37" s="10" t="e">
        <f t="array" aca="1" ref="AA37" ca="1">SUM(ABS(TRANSPOSE($D37:$F37)-T$3:T$5)^$P$9)</f>
        <v>#DIV/0!</v>
      </c>
      <c r="AB37" s="7" t="e">
        <f t="array" aca="1" ref="AB37" ca="1">SUM(ABS(TRANSPOSE($D37:$F37)-U$3:U$5)^$P$9)</f>
        <v>#DIV/0!</v>
      </c>
      <c r="AC37" s="7" t="e">
        <f t="shared" ca="1" si="10"/>
        <v>#DIV/0!</v>
      </c>
    </row>
    <row r="38" spans="1:29">
      <c r="A38" s="1" t="s">
        <v>120</v>
      </c>
      <c r="B38" s="1"/>
      <c r="C38" s="1" t="s">
        <v>47</v>
      </c>
      <c r="D38" s="2">
        <v>177</v>
      </c>
      <c r="E38" s="2">
        <v>159</v>
      </c>
      <c r="F38" s="5">
        <f t="shared" si="3"/>
        <v>50.751699703150436</v>
      </c>
      <c r="G38" s="4">
        <f t="shared" si="4"/>
        <v>69.685039370078741</v>
      </c>
      <c r="H38">
        <f t="shared" si="5"/>
        <v>5</v>
      </c>
      <c r="I38">
        <f t="shared" si="6"/>
        <v>9.6999999999999993</v>
      </c>
      <c r="J38" t="str">
        <f t="shared" si="7"/>
        <v>5' 9.7"</v>
      </c>
      <c r="K38">
        <f t="shared" si="8"/>
        <v>351</v>
      </c>
      <c r="L38">
        <f t="shared" si="11"/>
        <v>36</v>
      </c>
      <c r="M38" s="8" t="e">
        <f ca="1"/>
        <v>#NAME?</v>
      </c>
      <c r="W38" s="10" t="e">
        <f t="array" aca="1" ref="W38" ca="1">SUM(ABS(TRANSPOSE($D38:$F38)-P$3:P$5)^$P$9)</f>
        <v>#DIV/0!</v>
      </c>
      <c r="X38" s="10" t="e">
        <f t="array" aca="1" ref="X38" ca="1">SUM(ABS(TRANSPOSE($D38:$F38)-Q$3:Q$5)^$P$9)</f>
        <v>#DIV/0!</v>
      </c>
      <c r="Y38" s="10" t="e">
        <f t="array" aca="1" ref="Y38" ca="1">SUM(ABS(TRANSPOSE($D38:$F38)-R$3:R$5)^$P$9)</f>
        <v>#DIV/0!</v>
      </c>
      <c r="Z38" s="10" t="e">
        <f t="array" aca="1" ref="Z38" ca="1">SUM(ABS(TRANSPOSE($D38:$F38)-S$3:S$5)^$P$9)</f>
        <v>#DIV/0!</v>
      </c>
      <c r="AA38" s="10" t="e">
        <f t="array" aca="1" ref="AA38" ca="1">SUM(ABS(TRANSPOSE($D38:$F38)-T$3:T$5)^$P$9)</f>
        <v>#DIV/0!</v>
      </c>
      <c r="AB38" s="7" t="e">
        <f t="array" aca="1" ref="AB38" ca="1">SUM(ABS(TRANSPOSE($D38:$F38)-U$3:U$5)^$P$9)</f>
        <v>#DIV/0!</v>
      </c>
      <c r="AC38" s="7" t="e">
        <f t="shared" ca="1" si="10"/>
        <v>#DIV/0!</v>
      </c>
    </row>
    <row r="39" spans="1:29">
      <c r="A39" s="1" t="s">
        <v>121</v>
      </c>
      <c r="B39" s="1"/>
      <c r="C39" s="1" t="s">
        <v>48</v>
      </c>
      <c r="D39" s="2">
        <v>176</v>
      </c>
      <c r="E39" s="2">
        <v>147</v>
      </c>
      <c r="F39" s="5">
        <f t="shared" si="3"/>
        <v>47.456095041322314</v>
      </c>
      <c r="G39" s="4">
        <f t="shared" si="4"/>
        <v>69.29133858267717</v>
      </c>
      <c r="H39">
        <f t="shared" si="5"/>
        <v>5</v>
      </c>
      <c r="I39">
        <f t="shared" si="6"/>
        <v>9.3000000000000007</v>
      </c>
      <c r="J39" t="str">
        <f t="shared" si="7"/>
        <v>5' 9.3"</v>
      </c>
      <c r="K39">
        <f t="shared" si="8"/>
        <v>324</v>
      </c>
      <c r="L39">
        <f t="shared" si="11"/>
        <v>37</v>
      </c>
      <c r="M39" s="8" t="e">
        <f ca="1"/>
        <v>#NAME?</v>
      </c>
      <c r="W39" s="10" t="e">
        <f t="array" aca="1" ref="W39" ca="1">SUM(ABS(TRANSPOSE($D39:$F39)-P$3:P$5)^$P$9)</f>
        <v>#DIV/0!</v>
      </c>
      <c r="X39" s="10" t="e">
        <f t="array" aca="1" ref="X39" ca="1">SUM(ABS(TRANSPOSE($D39:$F39)-Q$3:Q$5)^$P$9)</f>
        <v>#DIV/0!</v>
      </c>
      <c r="Y39" s="10" t="e">
        <f t="array" aca="1" ref="Y39" ca="1">SUM(ABS(TRANSPOSE($D39:$F39)-R$3:R$5)^$P$9)</f>
        <v>#DIV/0!</v>
      </c>
      <c r="Z39" s="10" t="e">
        <f t="array" aca="1" ref="Z39" ca="1">SUM(ABS(TRANSPOSE($D39:$F39)-S$3:S$5)^$P$9)</f>
        <v>#DIV/0!</v>
      </c>
      <c r="AA39" s="10" t="e">
        <f t="array" aca="1" ref="AA39" ca="1">SUM(ABS(TRANSPOSE($D39:$F39)-T$3:T$5)^$P$9)</f>
        <v>#DIV/0!</v>
      </c>
      <c r="AB39" s="7" t="e">
        <f t="array" aca="1" ref="AB39" ca="1">SUM(ABS(TRANSPOSE($D39:$F39)-U$3:U$5)^$P$9)</f>
        <v>#DIV/0!</v>
      </c>
      <c r="AC39" s="7" t="e">
        <f t="shared" ca="1" si="10"/>
        <v>#DIV/0!</v>
      </c>
    </row>
    <row r="40" spans="1:29">
      <c r="A40" s="1" t="s">
        <v>122</v>
      </c>
      <c r="B40" s="1"/>
      <c r="C40" s="1" t="s">
        <v>18</v>
      </c>
      <c r="D40" s="2">
        <v>176</v>
      </c>
      <c r="E40" s="2">
        <v>134</v>
      </c>
      <c r="F40" s="5">
        <f t="shared" si="3"/>
        <v>43.259297520661157</v>
      </c>
      <c r="G40" s="4">
        <f t="shared" si="4"/>
        <v>69.29133858267717</v>
      </c>
      <c r="H40">
        <f t="shared" si="5"/>
        <v>5</v>
      </c>
      <c r="I40">
        <f t="shared" si="6"/>
        <v>9.3000000000000007</v>
      </c>
      <c r="J40" t="str">
        <f t="shared" si="7"/>
        <v>5' 9.3"</v>
      </c>
      <c r="K40">
        <f t="shared" si="8"/>
        <v>295</v>
      </c>
      <c r="L40">
        <f t="shared" si="11"/>
        <v>38</v>
      </c>
      <c r="M40" s="8" t="e">
        <f ca="1"/>
        <v>#NAME?</v>
      </c>
      <c r="W40" s="10" t="e">
        <f t="array" aca="1" ref="W40" ca="1">SUM(ABS(TRANSPOSE($D40:$F40)-P$3:P$5)^$P$9)</f>
        <v>#DIV/0!</v>
      </c>
      <c r="X40" s="10" t="e">
        <f t="array" aca="1" ref="X40" ca="1">SUM(ABS(TRANSPOSE($D40:$F40)-Q$3:Q$5)^$P$9)</f>
        <v>#DIV/0!</v>
      </c>
      <c r="Y40" s="10" t="e">
        <f t="array" aca="1" ref="Y40" ca="1">SUM(ABS(TRANSPOSE($D40:$F40)-R$3:R$5)^$P$9)</f>
        <v>#DIV/0!</v>
      </c>
      <c r="Z40" s="10" t="e">
        <f t="array" aca="1" ref="Z40" ca="1">SUM(ABS(TRANSPOSE($D40:$F40)-S$3:S$5)^$P$9)</f>
        <v>#DIV/0!</v>
      </c>
      <c r="AA40" s="10" t="e">
        <f t="array" aca="1" ref="AA40" ca="1">SUM(ABS(TRANSPOSE($D40:$F40)-T$3:T$5)^$P$9)</f>
        <v>#DIV/0!</v>
      </c>
      <c r="AB40" s="7" t="e">
        <f t="array" aca="1" ref="AB40" ca="1">SUM(ABS(TRANSPOSE($D40:$F40)-U$3:U$5)^$P$9)</f>
        <v>#DIV/0!</v>
      </c>
      <c r="AC40" s="7" t="e">
        <f t="shared" ca="1" si="10"/>
        <v>#DIV/0!</v>
      </c>
    </row>
    <row r="41" spans="1:29">
      <c r="A41" s="1" t="s">
        <v>123</v>
      </c>
      <c r="B41" s="1">
        <v>2</v>
      </c>
      <c r="C41" s="1" t="s">
        <v>39</v>
      </c>
      <c r="D41" s="2">
        <v>175</v>
      </c>
      <c r="E41" s="2">
        <v>163</v>
      </c>
      <c r="F41" s="5">
        <f t="shared" si="3"/>
        <v>53.224489795918366</v>
      </c>
      <c r="G41" s="4">
        <f t="shared" si="4"/>
        <v>68.897637795275585</v>
      </c>
      <c r="H41">
        <f t="shared" si="5"/>
        <v>5</v>
      </c>
      <c r="I41">
        <f t="shared" si="6"/>
        <v>8.9</v>
      </c>
      <c r="J41" t="str">
        <f t="shared" si="7"/>
        <v>5' 8.9"</v>
      </c>
      <c r="K41">
        <f t="shared" si="8"/>
        <v>359</v>
      </c>
      <c r="L41">
        <f t="shared" si="11"/>
        <v>39</v>
      </c>
      <c r="M41" s="8" t="e">
        <f ca="1"/>
        <v>#NAME?</v>
      </c>
      <c r="W41" s="10" t="e">
        <f t="array" aca="1" ref="W41" ca="1">SUM(ABS(TRANSPOSE($D41:$F41)-P$3:P$5)^$P$9)</f>
        <v>#DIV/0!</v>
      </c>
      <c r="X41" s="10" t="e">
        <f t="array" aca="1" ref="X41" ca="1">SUM(ABS(TRANSPOSE($D41:$F41)-Q$3:Q$5)^$P$9)</f>
        <v>#DIV/0!</v>
      </c>
      <c r="Y41" s="10" t="e">
        <f t="array" aca="1" ref="Y41" ca="1">SUM(ABS(TRANSPOSE($D41:$F41)-R$3:R$5)^$P$9)</f>
        <v>#DIV/0!</v>
      </c>
      <c r="Z41" s="10" t="e">
        <f t="array" aca="1" ref="Z41" ca="1">SUM(ABS(TRANSPOSE($D41:$F41)-S$3:S$5)^$P$9)</f>
        <v>#DIV/0!</v>
      </c>
      <c r="AA41" s="10" t="e">
        <f t="array" aca="1" ref="AA41" ca="1">SUM(ABS(TRANSPOSE($D41:$F41)-T$3:T$5)^$P$9)</f>
        <v>#DIV/0!</v>
      </c>
      <c r="AB41" s="7" t="e">
        <f t="array" aca="1" ref="AB41" ca="1">SUM(ABS(TRANSPOSE($D41:$F41)-U$3:U$5)^$P$9)</f>
        <v>#DIV/0!</v>
      </c>
      <c r="AC41" s="7" t="e">
        <f t="shared" ca="1" si="10"/>
        <v>#DIV/0!</v>
      </c>
    </row>
    <row r="42" spans="1:29">
      <c r="A42" s="1" t="s">
        <v>124</v>
      </c>
      <c r="B42" s="1"/>
      <c r="C42" s="1" t="s">
        <v>49</v>
      </c>
      <c r="D42" s="2">
        <v>175</v>
      </c>
      <c r="E42" s="2">
        <v>134</v>
      </c>
      <c r="F42" s="5">
        <f t="shared" si="3"/>
        <v>43.755102040816325</v>
      </c>
      <c r="G42" s="4">
        <f t="shared" si="4"/>
        <v>68.897637795275585</v>
      </c>
      <c r="H42">
        <f t="shared" si="5"/>
        <v>5</v>
      </c>
      <c r="I42">
        <f t="shared" si="6"/>
        <v>8.9</v>
      </c>
      <c r="J42" t="str">
        <f t="shared" si="7"/>
        <v>5' 8.9"</v>
      </c>
      <c r="K42">
        <f t="shared" si="8"/>
        <v>295</v>
      </c>
      <c r="L42">
        <f t="shared" si="11"/>
        <v>40</v>
      </c>
      <c r="M42" s="8" t="e">
        <f ca="1"/>
        <v>#NAME?</v>
      </c>
      <c r="W42" s="10" t="e">
        <f t="array" aca="1" ref="W42" ca="1">SUM(ABS(TRANSPOSE($D42:$F42)-P$3:P$5)^$P$9)</f>
        <v>#DIV/0!</v>
      </c>
      <c r="X42" s="10" t="e">
        <f t="array" aca="1" ref="X42" ca="1">SUM(ABS(TRANSPOSE($D42:$F42)-Q$3:Q$5)^$P$9)</f>
        <v>#DIV/0!</v>
      </c>
      <c r="Y42" s="10" t="e">
        <f t="array" aca="1" ref="Y42" ca="1">SUM(ABS(TRANSPOSE($D42:$F42)-R$3:R$5)^$P$9)</f>
        <v>#DIV/0!</v>
      </c>
      <c r="Z42" s="10" t="e">
        <f t="array" aca="1" ref="Z42" ca="1">SUM(ABS(TRANSPOSE($D42:$F42)-S$3:S$5)^$P$9)</f>
        <v>#DIV/0!</v>
      </c>
      <c r="AA42" s="10" t="e">
        <f t="array" aca="1" ref="AA42" ca="1">SUM(ABS(TRANSPOSE($D42:$F42)-T$3:T$5)^$P$9)</f>
        <v>#DIV/0!</v>
      </c>
      <c r="AB42" s="7" t="e">
        <f t="array" aca="1" ref="AB42" ca="1">SUM(ABS(TRANSPOSE($D42:$F42)-U$3:U$5)^$P$9)</f>
        <v>#DIV/0!</v>
      </c>
      <c r="AC42" s="7" t="e">
        <f t="shared" ca="1" si="10"/>
        <v>#DIV/0!</v>
      </c>
    </row>
    <row r="43" spans="1:29">
      <c r="A43" s="1" t="s">
        <v>125</v>
      </c>
      <c r="B43" s="1"/>
      <c r="C43" s="1" t="s">
        <v>50</v>
      </c>
      <c r="D43" s="2">
        <v>172</v>
      </c>
      <c r="E43" s="2">
        <v>118</v>
      </c>
      <c r="F43" s="5">
        <f t="shared" si="3"/>
        <v>39.886425094645752</v>
      </c>
      <c r="G43" s="4">
        <f t="shared" si="4"/>
        <v>67.716535433070874</v>
      </c>
      <c r="H43">
        <f t="shared" si="5"/>
        <v>5</v>
      </c>
      <c r="I43">
        <f t="shared" si="6"/>
        <v>7.7</v>
      </c>
      <c r="J43" t="str">
        <f t="shared" si="7"/>
        <v>5' 7.7"</v>
      </c>
      <c r="K43">
        <f t="shared" si="8"/>
        <v>260</v>
      </c>
      <c r="L43">
        <f t="shared" si="11"/>
        <v>41</v>
      </c>
      <c r="M43" s="8" t="e">
        <f ca="1"/>
        <v>#NAME?</v>
      </c>
      <c r="W43" s="10" t="e">
        <f t="array" aca="1" ref="W43" ca="1">SUM(ABS(TRANSPOSE($D43:$F43)-P$3:P$5)^$P$9)</f>
        <v>#DIV/0!</v>
      </c>
      <c r="X43" s="10" t="e">
        <f t="array" aca="1" ref="X43" ca="1">SUM(ABS(TRANSPOSE($D43:$F43)-Q$3:Q$5)^$P$9)</f>
        <v>#DIV/0!</v>
      </c>
      <c r="Y43" s="10" t="e">
        <f t="array" aca="1" ref="Y43" ca="1">SUM(ABS(TRANSPOSE($D43:$F43)-R$3:R$5)^$P$9)</f>
        <v>#DIV/0!</v>
      </c>
      <c r="Z43" s="10" t="e">
        <f t="array" aca="1" ref="Z43" ca="1">SUM(ABS(TRANSPOSE($D43:$F43)-S$3:S$5)^$P$9)</f>
        <v>#DIV/0!</v>
      </c>
      <c r="AA43" s="10" t="e">
        <f t="array" aca="1" ref="AA43" ca="1">SUM(ABS(TRANSPOSE($D43:$F43)-T$3:T$5)^$P$9)</f>
        <v>#DIV/0!</v>
      </c>
      <c r="AB43" s="7" t="e">
        <f t="array" aca="1" ref="AB43" ca="1">SUM(ABS(TRANSPOSE($D43:$F43)-U$3:U$5)^$P$9)</f>
        <v>#DIV/0!</v>
      </c>
      <c r="AC43" s="7" t="e">
        <f t="shared" ca="1" si="10"/>
        <v>#DIV/0!</v>
      </c>
    </row>
    <row r="44" spans="1:29">
      <c r="A44" s="1" t="s">
        <v>126</v>
      </c>
      <c r="B44" s="1"/>
      <c r="C44" s="1" t="s">
        <v>51</v>
      </c>
      <c r="D44" s="2">
        <v>169</v>
      </c>
      <c r="E44" s="2">
        <v>117</v>
      </c>
      <c r="F44" s="5">
        <f t="shared" si="3"/>
        <v>40.964952207555754</v>
      </c>
      <c r="G44" s="4">
        <f t="shared" si="4"/>
        <v>66.535433070866134</v>
      </c>
      <c r="H44">
        <f t="shared" si="5"/>
        <v>5</v>
      </c>
      <c r="I44">
        <f t="shared" si="6"/>
        <v>6.5</v>
      </c>
      <c r="J44" t="str">
        <f t="shared" si="7"/>
        <v>5' 6.5"</v>
      </c>
      <c r="K44">
        <f t="shared" si="8"/>
        <v>258</v>
      </c>
      <c r="L44">
        <f t="shared" si="11"/>
        <v>42</v>
      </c>
      <c r="M44" s="9" t="e">
        <f ca="1"/>
        <v>#NAME?</v>
      </c>
      <c r="W44" s="16" t="e">
        <f t="array" aca="1" ref="W44" ca="1">SUM(ABS(TRANSPOSE($D44:$F44)-P$3:P$5)^$P$9)</f>
        <v>#DIV/0!</v>
      </c>
      <c r="X44" s="16" t="e">
        <f t="array" aca="1" ref="X44" ca="1">SUM(ABS(TRANSPOSE($D44:$F44)-Q$3:Q$5)^$P$9)</f>
        <v>#DIV/0!</v>
      </c>
      <c r="Y44" s="16" t="e">
        <f t="array" aca="1" ref="Y44" ca="1">SUM(ABS(TRANSPOSE($D44:$F44)-R$3:R$5)^$P$9)</f>
        <v>#DIV/0!</v>
      </c>
      <c r="Z44" s="16" t="e">
        <f t="array" aca="1" ref="Z44" ca="1">SUM(ABS(TRANSPOSE($D44:$F44)-S$3:S$5)^$P$9)</f>
        <v>#DIV/0!</v>
      </c>
      <c r="AA44" s="16" t="e">
        <f t="array" aca="1" ref="AA44" ca="1">SUM(ABS(TRANSPOSE($D44:$F44)-T$3:T$5)^$P$9)</f>
        <v>#DIV/0!</v>
      </c>
      <c r="AB44" s="6" t="e">
        <f t="array" aca="1" ref="AB44" ca="1">SUM(ABS(TRANSPOSE($D44:$F44)-U$3:U$5)^$P$9)</f>
        <v>#DIV/0!</v>
      </c>
      <c r="AC44" s="6" t="e">
        <f t="shared" ca="1" si="10"/>
        <v>#DIV/0!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E5FC-5096-4B3F-A120-C0631CA4448F}">
  <sheetPr codeName="Sheet7"/>
  <dimension ref="A2:M44"/>
  <sheetViews>
    <sheetView zoomScale="130" zoomScaleNormal="130" workbookViewId="0">
      <selection sqref="A1:E1048576"/>
    </sheetView>
  </sheetViews>
  <sheetFormatPr defaultRowHeight="14.5"/>
  <cols>
    <col min="1" max="3" width="21.1796875" customWidth="1"/>
    <col min="6" max="6" width="11.26953125" bestFit="1" customWidth="1"/>
    <col min="7" max="7" width="9" style="4"/>
  </cols>
  <sheetData>
    <row r="2" spans="1:13">
      <c r="A2" t="s">
        <v>3</v>
      </c>
      <c r="B2" t="s">
        <v>11</v>
      </c>
      <c r="C2" t="s">
        <v>12</v>
      </c>
      <c r="D2" t="s">
        <v>5</v>
      </c>
      <c r="E2" t="s">
        <v>4</v>
      </c>
      <c r="F2" t="s">
        <v>26</v>
      </c>
      <c r="G2" s="4" t="s">
        <v>6</v>
      </c>
      <c r="H2" t="s">
        <v>7</v>
      </c>
      <c r="I2" t="s">
        <v>8</v>
      </c>
      <c r="J2" t="s">
        <v>9</v>
      </c>
      <c r="K2" t="s">
        <v>10</v>
      </c>
      <c r="M2" s="15" t="s">
        <v>52</v>
      </c>
    </row>
    <row r="3" spans="1:13">
      <c r="A3" s="1" t="s">
        <v>95</v>
      </c>
      <c r="B3" s="1"/>
      <c r="C3" s="1" t="s">
        <v>25</v>
      </c>
      <c r="D3" s="2">
        <v>187</v>
      </c>
      <c r="E3" s="2">
        <v>132</v>
      </c>
      <c r="F3" s="5">
        <v>37.747719408619062</v>
      </c>
      <c r="G3" s="4">
        <v>73.622047244094489</v>
      </c>
      <c r="H3">
        <v>6</v>
      </c>
      <c r="I3">
        <v>1.6</v>
      </c>
      <c r="J3" t="s">
        <v>69</v>
      </c>
      <c r="K3">
        <v>291</v>
      </c>
      <c r="L3">
        <v>11</v>
      </c>
      <c r="M3" s="7">
        <v>1</v>
      </c>
    </row>
    <row r="4" spans="1:13">
      <c r="A4" s="1" t="s">
        <v>100</v>
      </c>
      <c r="B4" s="1"/>
      <c r="C4" s="1" t="s">
        <v>17</v>
      </c>
      <c r="D4" s="2">
        <v>186</v>
      </c>
      <c r="E4" s="2">
        <v>138</v>
      </c>
      <c r="F4" s="5">
        <v>39.889004509191814</v>
      </c>
      <c r="G4" s="4">
        <v>73.228346456692918</v>
      </c>
      <c r="H4">
        <v>6</v>
      </c>
      <c r="I4">
        <v>1.2</v>
      </c>
      <c r="J4" t="s">
        <v>71</v>
      </c>
      <c r="K4">
        <v>304</v>
      </c>
      <c r="L4">
        <v>16</v>
      </c>
      <c r="M4" s="8">
        <v>1</v>
      </c>
    </row>
    <row r="5" spans="1:13">
      <c r="A5" s="1" t="s">
        <v>102</v>
      </c>
      <c r="B5" s="1"/>
      <c r="C5" s="1" t="s">
        <v>32</v>
      </c>
      <c r="D5" s="2">
        <v>185</v>
      </c>
      <c r="E5" s="2">
        <v>140</v>
      </c>
      <c r="F5" s="5">
        <v>40.905770635500367</v>
      </c>
      <c r="G5" s="4">
        <v>72.834645669291348</v>
      </c>
      <c r="H5">
        <v>6</v>
      </c>
      <c r="I5">
        <v>0.8</v>
      </c>
      <c r="J5" t="s">
        <v>72</v>
      </c>
      <c r="K5">
        <v>309</v>
      </c>
      <c r="L5">
        <v>18</v>
      </c>
      <c r="M5" s="8">
        <v>1</v>
      </c>
    </row>
    <row r="6" spans="1:13">
      <c r="A6" s="1" t="s">
        <v>110</v>
      </c>
      <c r="B6" s="1"/>
      <c r="C6" s="1" t="s">
        <v>40</v>
      </c>
      <c r="D6" s="2">
        <v>183</v>
      </c>
      <c r="E6" s="2">
        <v>141</v>
      </c>
      <c r="F6" s="5">
        <v>42.103377228343632</v>
      </c>
      <c r="G6" s="4">
        <v>72.047244094488192</v>
      </c>
      <c r="H6">
        <v>6</v>
      </c>
      <c r="I6">
        <v>0</v>
      </c>
      <c r="J6" t="s">
        <v>70</v>
      </c>
      <c r="K6">
        <v>311</v>
      </c>
      <c r="L6">
        <v>26</v>
      </c>
      <c r="M6" s="8">
        <v>1</v>
      </c>
    </row>
    <row r="7" spans="1:13">
      <c r="A7" s="1" t="s">
        <v>111</v>
      </c>
      <c r="B7" s="1"/>
      <c r="C7" s="1" t="s">
        <v>41</v>
      </c>
      <c r="D7" s="2">
        <v>183</v>
      </c>
      <c r="E7" s="2">
        <v>140</v>
      </c>
      <c r="F7" s="5">
        <v>41.804771716085874</v>
      </c>
      <c r="G7" s="4">
        <v>72.047244094488192</v>
      </c>
      <c r="H7">
        <v>6</v>
      </c>
      <c r="I7">
        <v>0</v>
      </c>
      <c r="J7" t="s">
        <v>70</v>
      </c>
      <c r="K7">
        <v>309</v>
      </c>
      <c r="L7">
        <v>27</v>
      </c>
      <c r="M7" s="8">
        <v>1</v>
      </c>
    </row>
    <row r="8" spans="1:13">
      <c r="A8" s="1" t="s">
        <v>114</v>
      </c>
      <c r="B8" s="1"/>
      <c r="C8" s="1" t="s">
        <v>44</v>
      </c>
      <c r="D8" s="2">
        <v>182</v>
      </c>
      <c r="E8" s="2">
        <v>130</v>
      </c>
      <c r="F8" s="5">
        <v>39.246467817896388</v>
      </c>
      <c r="G8" s="4">
        <v>71.653543307086608</v>
      </c>
      <c r="H8">
        <v>5</v>
      </c>
      <c r="I8">
        <v>11.7</v>
      </c>
      <c r="J8" t="s">
        <v>74</v>
      </c>
      <c r="K8">
        <v>287</v>
      </c>
      <c r="L8">
        <v>30</v>
      </c>
      <c r="M8" s="8">
        <v>1</v>
      </c>
    </row>
    <row r="9" spans="1:13">
      <c r="A9" s="1" t="s">
        <v>122</v>
      </c>
      <c r="B9" s="1"/>
      <c r="C9" s="1" t="s">
        <v>18</v>
      </c>
      <c r="D9" s="2">
        <v>176</v>
      </c>
      <c r="E9" s="2">
        <v>134</v>
      </c>
      <c r="F9" s="5">
        <v>43.259297520661157</v>
      </c>
      <c r="G9" s="4">
        <v>69.29133858267717</v>
      </c>
      <c r="H9">
        <v>5</v>
      </c>
      <c r="I9">
        <v>9.3000000000000007</v>
      </c>
      <c r="J9" t="s">
        <v>80</v>
      </c>
      <c r="K9">
        <v>295</v>
      </c>
      <c r="L9">
        <v>38</v>
      </c>
      <c r="M9" s="8">
        <v>1</v>
      </c>
    </row>
    <row r="10" spans="1:13">
      <c r="A10" s="1" t="s">
        <v>124</v>
      </c>
      <c r="B10" s="1"/>
      <c r="C10" s="1" t="s">
        <v>49</v>
      </c>
      <c r="D10" s="2">
        <v>175</v>
      </c>
      <c r="E10" s="2">
        <v>134</v>
      </c>
      <c r="F10" s="5">
        <v>43.755102040816325</v>
      </c>
      <c r="G10" s="4">
        <v>68.897637795275585</v>
      </c>
      <c r="H10">
        <v>5</v>
      </c>
      <c r="I10">
        <v>8.9</v>
      </c>
      <c r="J10" t="s">
        <v>81</v>
      </c>
      <c r="K10">
        <v>295</v>
      </c>
      <c r="L10">
        <v>40</v>
      </c>
      <c r="M10" s="8">
        <v>1</v>
      </c>
    </row>
    <row r="11" spans="1:13">
      <c r="A11" s="1" t="s">
        <v>125</v>
      </c>
      <c r="B11" s="1"/>
      <c r="C11" s="1" t="s">
        <v>50</v>
      </c>
      <c r="D11" s="2">
        <v>172</v>
      </c>
      <c r="E11" s="2">
        <v>118</v>
      </c>
      <c r="F11" s="5">
        <v>39.886425094645752</v>
      </c>
      <c r="G11" s="4">
        <v>67.716535433070874</v>
      </c>
      <c r="H11">
        <v>5</v>
      </c>
      <c r="I11">
        <v>7.7</v>
      </c>
      <c r="J11" t="s">
        <v>82</v>
      </c>
      <c r="K11">
        <v>260</v>
      </c>
      <c r="L11">
        <v>41</v>
      </c>
      <c r="M11" s="8">
        <v>1</v>
      </c>
    </row>
    <row r="12" spans="1:13">
      <c r="A12" s="1" t="s">
        <v>126</v>
      </c>
      <c r="B12" s="1"/>
      <c r="C12" s="1" t="s">
        <v>51</v>
      </c>
      <c r="D12" s="2">
        <v>169</v>
      </c>
      <c r="E12" s="2">
        <v>117</v>
      </c>
      <c r="F12" s="5">
        <v>40.964952207555754</v>
      </c>
      <c r="G12" s="4">
        <v>66.535433070866134</v>
      </c>
      <c r="H12">
        <v>5</v>
      </c>
      <c r="I12">
        <v>6.5</v>
      </c>
      <c r="J12" t="s">
        <v>83</v>
      </c>
      <c r="K12">
        <v>258</v>
      </c>
      <c r="L12">
        <v>42</v>
      </c>
      <c r="M12" s="8">
        <v>1</v>
      </c>
    </row>
    <row r="13" spans="1:13">
      <c r="A13" s="1" t="s">
        <v>85</v>
      </c>
      <c r="B13" s="1"/>
      <c r="C13" s="1" t="s">
        <v>13</v>
      </c>
      <c r="D13" s="2">
        <v>194</v>
      </c>
      <c r="E13" s="2">
        <v>194</v>
      </c>
      <c r="F13" s="5">
        <v>51.546391752577321</v>
      </c>
      <c r="G13" s="4">
        <v>76.377952755905511</v>
      </c>
      <c r="H13">
        <v>6</v>
      </c>
      <c r="I13">
        <v>4.4000000000000004</v>
      </c>
      <c r="J13" t="s">
        <v>63</v>
      </c>
      <c r="K13">
        <v>428</v>
      </c>
      <c r="L13">
        <v>1</v>
      </c>
      <c r="M13" s="8">
        <v>2</v>
      </c>
    </row>
    <row r="14" spans="1:13">
      <c r="A14" s="1" t="s">
        <v>86</v>
      </c>
      <c r="B14" s="1">
        <v>5</v>
      </c>
      <c r="C14" s="1" t="s">
        <v>14</v>
      </c>
      <c r="D14" s="2">
        <v>192</v>
      </c>
      <c r="E14" s="2">
        <v>184</v>
      </c>
      <c r="F14" s="5">
        <v>49.913194444444443</v>
      </c>
      <c r="G14" s="4">
        <v>75.59055118110237</v>
      </c>
      <c r="H14">
        <v>6</v>
      </c>
      <c r="I14">
        <v>3.6</v>
      </c>
      <c r="J14" t="s">
        <v>64</v>
      </c>
      <c r="K14">
        <v>406</v>
      </c>
      <c r="L14">
        <v>2</v>
      </c>
      <c r="M14" s="8">
        <v>3</v>
      </c>
    </row>
    <row r="15" spans="1:13">
      <c r="A15" s="1" t="s">
        <v>87</v>
      </c>
      <c r="B15" s="1">
        <v>1</v>
      </c>
      <c r="C15" s="1" t="s">
        <v>15</v>
      </c>
      <c r="D15" s="2">
        <v>191</v>
      </c>
      <c r="E15" s="2">
        <v>182</v>
      </c>
      <c r="F15" s="5">
        <v>49.888983306378663</v>
      </c>
      <c r="G15" s="4">
        <v>75.196850393700785</v>
      </c>
      <c r="H15">
        <v>6</v>
      </c>
      <c r="I15">
        <v>3.2</v>
      </c>
      <c r="J15" t="s">
        <v>65</v>
      </c>
      <c r="K15">
        <v>401</v>
      </c>
      <c r="L15">
        <v>3</v>
      </c>
      <c r="M15" s="8">
        <v>3</v>
      </c>
    </row>
    <row r="16" spans="1:13">
      <c r="A16" s="1" t="s">
        <v>88</v>
      </c>
      <c r="B16" s="1"/>
      <c r="C16" s="1" t="s">
        <v>16</v>
      </c>
      <c r="D16" s="2">
        <v>191</v>
      </c>
      <c r="E16" s="2">
        <v>182</v>
      </c>
      <c r="F16" s="5">
        <v>49.888983306378663</v>
      </c>
      <c r="G16" s="4">
        <v>75.196850393700785</v>
      </c>
      <c r="H16">
        <v>6</v>
      </c>
      <c r="I16">
        <v>3.2</v>
      </c>
      <c r="J16" t="s">
        <v>65</v>
      </c>
      <c r="K16">
        <v>401</v>
      </c>
      <c r="L16" s="14">
        <v>4</v>
      </c>
      <c r="M16" s="8">
        <v>3</v>
      </c>
    </row>
    <row r="17" spans="1:13">
      <c r="A17" s="1" t="s">
        <v>91</v>
      </c>
      <c r="B17" s="1"/>
      <c r="C17" s="1" t="s">
        <v>19</v>
      </c>
      <c r="D17" s="2">
        <v>190</v>
      </c>
      <c r="E17" s="2">
        <v>183</v>
      </c>
      <c r="F17" s="5">
        <v>50.692520775623272</v>
      </c>
      <c r="G17" s="4">
        <v>74.803149606299215</v>
      </c>
      <c r="H17">
        <v>6</v>
      </c>
      <c r="I17">
        <v>2.8</v>
      </c>
      <c r="J17" t="s">
        <v>66</v>
      </c>
      <c r="K17">
        <v>403</v>
      </c>
      <c r="L17">
        <v>7</v>
      </c>
      <c r="M17" s="8">
        <v>3</v>
      </c>
    </row>
    <row r="18" spans="1:13">
      <c r="A18" s="1" t="s">
        <v>113</v>
      </c>
      <c r="B18" s="1"/>
      <c r="C18" s="1" t="s">
        <v>43</v>
      </c>
      <c r="D18" s="2">
        <v>181</v>
      </c>
      <c r="E18" s="2">
        <v>189</v>
      </c>
      <c r="F18" s="5">
        <v>57.690546686609082</v>
      </c>
      <c r="G18" s="4">
        <v>71.259842519685037</v>
      </c>
      <c r="H18">
        <v>5</v>
      </c>
      <c r="I18">
        <v>11.3</v>
      </c>
      <c r="J18" t="s">
        <v>75</v>
      </c>
      <c r="K18">
        <v>417</v>
      </c>
      <c r="L18">
        <v>29</v>
      </c>
      <c r="M18" s="8">
        <v>3</v>
      </c>
    </row>
    <row r="19" spans="1:13">
      <c r="A19" s="1" t="s">
        <v>92</v>
      </c>
      <c r="B19" s="1">
        <v>1</v>
      </c>
      <c r="C19" s="1" t="s">
        <v>24</v>
      </c>
      <c r="D19" s="2">
        <v>189</v>
      </c>
      <c r="E19" s="2">
        <v>172</v>
      </c>
      <c r="F19" s="5">
        <v>48.150947621847095</v>
      </c>
      <c r="G19" s="4">
        <v>74.409448818897644</v>
      </c>
      <c r="H19">
        <v>6</v>
      </c>
      <c r="I19">
        <v>2.4</v>
      </c>
      <c r="J19" t="s">
        <v>67</v>
      </c>
      <c r="K19">
        <v>379</v>
      </c>
      <c r="L19">
        <v>8</v>
      </c>
      <c r="M19" s="8">
        <v>4</v>
      </c>
    </row>
    <row r="20" spans="1:13">
      <c r="A20" s="1" t="s">
        <v>94</v>
      </c>
      <c r="B20" s="1"/>
      <c r="C20" s="1" t="s">
        <v>21</v>
      </c>
      <c r="D20" s="2">
        <v>188</v>
      </c>
      <c r="E20" s="2">
        <v>165</v>
      </c>
      <c r="F20" s="5">
        <v>46.684019918515169</v>
      </c>
      <c r="G20" s="4">
        <v>74.015748031496059</v>
      </c>
      <c r="H20">
        <v>6</v>
      </c>
      <c r="I20">
        <v>2</v>
      </c>
      <c r="J20" t="s">
        <v>68</v>
      </c>
      <c r="K20">
        <v>364</v>
      </c>
      <c r="L20">
        <v>10</v>
      </c>
      <c r="M20" s="8">
        <v>4</v>
      </c>
    </row>
    <row r="21" spans="1:13">
      <c r="A21" s="1" t="s">
        <v>96</v>
      </c>
      <c r="B21" s="1"/>
      <c r="C21" s="1" t="s">
        <v>27</v>
      </c>
      <c r="D21" s="2">
        <v>187</v>
      </c>
      <c r="E21" s="2">
        <v>175</v>
      </c>
      <c r="F21" s="5">
        <v>50.044324973548001</v>
      </c>
      <c r="G21" s="4">
        <v>73.622047244094489</v>
      </c>
      <c r="H21">
        <v>6</v>
      </c>
      <c r="I21">
        <v>1.6</v>
      </c>
      <c r="J21" t="s">
        <v>69</v>
      </c>
      <c r="K21">
        <v>386</v>
      </c>
      <c r="L21">
        <v>12</v>
      </c>
      <c r="M21" s="8">
        <v>4</v>
      </c>
    </row>
    <row r="22" spans="1:13">
      <c r="A22" s="1" t="s">
        <v>101</v>
      </c>
      <c r="B22" s="1"/>
      <c r="C22" s="1" t="s">
        <v>31</v>
      </c>
      <c r="D22" s="2">
        <v>185</v>
      </c>
      <c r="E22" s="2">
        <v>164</v>
      </c>
      <c r="F22" s="5">
        <v>47.918188458728999</v>
      </c>
      <c r="G22" s="4">
        <v>72.834645669291348</v>
      </c>
      <c r="H22">
        <v>6</v>
      </c>
      <c r="I22">
        <v>0.8</v>
      </c>
      <c r="J22" t="s">
        <v>72</v>
      </c>
      <c r="K22">
        <v>362</v>
      </c>
      <c r="L22">
        <v>17</v>
      </c>
      <c r="M22" s="8">
        <v>4</v>
      </c>
    </row>
    <row r="23" spans="1:13">
      <c r="A23" s="1" t="s">
        <v>103</v>
      </c>
      <c r="B23" s="1"/>
      <c r="C23" s="1" t="s">
        <v>33</v>
      </c>
      <c r="D23" s="2">
        <v>185</v>
      </c>
      <c r="E23" s="2">
        <v>168</v>
      </c>
      <c r="F23" s="5">
        <v>49.086924762600439</v>
      </c>
      <c r="G23" s="4">
        <v>72.834645669291348</v>
      </c>
      <c r="H23">
        <v>6</v>
      </c>
      <c r="I23">
        <v>0.8</v>
      </c>
      <c r="J23" t="s">
        <v>72</v>
      </c>
      <c r="K23">
        <v>370</v>
      </c>
      <c r="L23">
        <v>19</v>
      </c>
      <c r="M23" s="8">
        <v>4</v>
      </c>
    </row>
    <row r="24" spans="1:13">
      <c r="A24" s="1" t="s">
        <v>104</v>
      </c>
      <c r="B24" s="1"/>
      <c r="C24" s="1" t="s">
        <v>34</v>
      </c>
      <c r="D24" s="2">
        <v>185</v>
      </c>
      <c r="E24" s="2">
        <v>168</v>
      </c>
      <c r="F24" s="5">
        <v>49.086924762600439</v>
      </c>
      <c r="G24" s="4">
        <v>72.834645669291348</v>
      </c>
      <c r="H24">
        <v>6</v>
      </c>
      <c r="I24">
        <v>0.8</v>
      </c>
      <c r="J24" t="s">
        <v>72</v>
      </c>
      <c r="K24">
        <v>370</v>
      </c>
      <c r="L24">
        <v>20</v>
      </c>
      <c r="M24" s="8">
        <v>4</v>
      </c>
    </row>
    <row r="25" spans="1:13">
      <c r="A25" s="1" t="s">
        <v>105</v>
      </c>
      <c r="B25" s="1"/>
      <c r="C25" s="1" t="s">
        <v>35</v>
      </c>
      <c r="D25" s="2">
        <v>185</v>
      </c>
      <c r="E25" s="2">
        <v>168</v>
      </c>
      <c r="F25" s="5">
        <v>49.086924762600439</v>
      </c>
      <c r="G25" s="4">
        <v>72.834645669291348</v>
      </c>
      <c r="H25">
        <v>6</v>
      </c>
      <c r="I25">
        <v>0.8</v>
      </c>
      <c r="J25" t="s">
        <v>72</v>
      </c>
      <c r="K25">
        <v>370</v>
      </c>
      <c r="L25">
        <v>21</v>
      </c>
      <c r="M25" s="8">
        <v>4</v>
      </c>
    </row>
    <row r="26" spans="1:13">
      <c r="A26" s="1" t="s">
        <v>106</v>
      </c>
      <c r="B26" s="1"/>
      <c r="C26" s="1" t="s">
        <v>36</v>
      </c>
      <c r="D26" s="2">
        <v>184</v>
      </c>
      <c r="E26" s="2">
        <v>167</v>
      </c>
      <c r="F26" s="5">
        <v>49.326559546313803</v>
      </c>
      <c r="G26" s="4">
        <v>72.440944881889763</v>
      </c>
      <c r="H26">
        <v>6</v>
      </c>
      <c r="I26">
        <v>0.4</v>
      </c>
      <c r="J26" t="s">
        <v>73</v>
      </c>
      <c r="K26">
        <v>368</v>
      </c>
      <c r="L26">
        <v>22</v>
      </c>
      <c r="M26" s="8">
        <v>4</v>
      </c>
    </row>
    <row r="27" spans="1:13">
      <c r="A27" s="1" t="s">
        <v>107</v>
      </c>
      <c r="B27" s="1"/>
      <c r="C27" s="1" t="s">
        <v>37</v>
      </c>
      <c r="D27" s="2">
        <v>184</v>
      </c>
      <c r="E27" s="2">
        <v>174</v>
      </c>
      <c r="F27" s="5">
        <v>51.394139886578444</v>
      </c>
      <c r="G27" s="4">
        <v>72.440944881889763</v>
      </c>
      <c r="H27">
        <v>6</v>
      </c>
      <c r="I27">
        <v>0.4</v>
      </c>
      <c r="J27" t="s">
        <v>73</v>
      </c>
      <c r="K27">
        <v>384</v>
      </c>
      <c r="L27">
        <v>23</v>
      </c>
      <c r="M27" s="8">
        <v>4</v>
      </c>
    </row>
    <row r="28" spans="1:13">
      <c r="A28" s="1" t="s">
        <v>109</v>
      </c>
      <c r="B28" s="1">
        <v>1</v>
      </c>
      <c r="C28" s="1" t="s">
        <v>39</v>
      </c>
      <c r="D28" s="2">
        <v>183</v>
      </c>
      <c r="E28" s="2">
        <v>167</v>
      </c>
      <c r="F28" s="5">
        <v>49.867120547045296</v>
      </c>
      <c r="G28" s="4">
        <v>72.047244094488192</v>
      </c>
      <c r="H28">
        <v>6</v>
      </c>
      <c r="I28">
        <v>0</v>
      </c>
      <c r="J28" t="s">
        <v>70</v>
      </c>
      <c r="K28">
        <v>368</v>
      </c>
      <c r="L28">
        <v>25</v>
      </c>
      <c r="M28" s="8">
        <v>4</v>
      </c>
    </row>
    <row r="29" spans="1:13">
      <c r="A29" s="1" t="s">
        <v>112</v>
      </c>
      <c r="B29" s="1">
        <v>1</v>
      </c>
      <c r="C29" s="1" t="s">
        <v>42</v>
      </c>
      <c r="D29" s="2">
        <v>182</v>
      </c>
      <c r="E29" s="2">
        <v>162</v>
      </c>
      <c r="F29" s="5">
        <v>48.907136819224732</v>
      </c>
      <c r="G29" s="4">
        <v>71.653543307086608</v>
      </c>
      <c r="H29">
        <v>5</v>
      </c>
      <c r="I29">
        <v>11.7</v>
      </c>
      <c r="J29" t="s">
        <v>74</v>
      </c>
      <c r="K29">
        <v>357</v>
      </c>
      <c r="L29">
        <v>28</v>
      </c>
      <c r="M29" s="8">
        <v>4</v>
      </c>
    </row>
    <row r="30" spans="1:13">
      <c r="A30" s="1" t="s">
        <v>116</v>
      </c>
      <c r="B30" s="1">
        <v>2</v>
      </c>
      <c r="C30" s="1" t="s">
        <v>31</v>
      </c>
      <c r="D30" s="2">
        <v>180</v>
      </c>
      <c r="E30" s="2">
        <v>174</v>
      </c>
      <c r="F30" s="5">
        <v>53.703703703703702</v>
      </c>
      <c r="G30" s="4">
        <v>70.866141732283467</v>
      </c>
      <c r="H30">
        <v>5</v>
      </c>
      <c r="I30">
        <v>10.9</v>
      </c>
      <c r="J30" t="s">
        <v>76</v>
      </c>
      <c r="K30">
        <v>384</v>
      </c>
      <c r="L30">
        <v>32</v>
      </c>
      <c r="M30" s="8">
        <v>4</v>
      </c>
    </row>
    <row r="31" spans="1:13">
      <c r="A31" s="1" t="s">
        <v>119</v>
      </c>
      <c r="B31" s="1"/>
      <c r="C31" s="1" t="s">
        <v>20</v>
      </c>
      <c r="D31" s="2">
        <v>178</v>
      </c>
      <c r="E31" s="2">
        <v>176</v>
      </c>
      <c r="F31" s="5">
        <v>55.548541850776424</v>
      </c>
      <c r="G31" s="4">
        <v>70.078740157480311</v>
      </c>
      <c r="H31">
        <v>5</v>
      </c>
      <c r="I31">
        <v>10.1</v>
      </c>
      <c r="J31" t="s">
        <v>78</v>
      </c>
      <c r="K31">
        <v>388</v>
      </c>
      <c r="L31">
        <v>35</v>
      </c>
      <c r="M31" s="8">
        <v>4</v>
      </c>
    </row>
    <row r="32" spans="1:13">
      <c r="A32" s="1" t="s">
        <v>123</v>
      </c>
      <c r="B32" s="1">
        <v>2</v>
      </c>
      <c r="C32" s="1" t="s">
        <v>39</v>
      </c>
      <c r="D32" s="2">
        <v>175</v>
      </c>
      <c r="E32" s="2">
        <v>163</v>
      </c>
      <c r="F32" s="5">
        <v>53.224489795918366</v>
      </c>
      <c r="G32" s="4">
        <v>68.897637795275585</v>
      </c>
      <c r="H32">
        <v>5</v>
      </c>
      <c r="I32">
        <v>8.9</v>
      </c>
      <c r="J32" t="s">
        <v>81</v>
      </c>
      <c r="K32">
        <v>359</v>
      </c>
      <c r="L32">
        <v>39</v>
      </c>
      <c r="M32" s="8">
        <v>4</v>
      </c>
    </row>
    <row r="33" spans="1:13">
      <c r="A33" s="1" t="s">
        <v>89</v>
      </c>
      <c r="B33" s="1"/>
      <c r="C33" s="1" t="s">
        <v>22</v>
      </c>
      <c r="D33" s="2">
        <v>190</v>
      </c>
      <c r="E33" s="2">
        <v>206</v>
      </c>
      <c r="F33" s="5">
        <v>57.063711911357338</v>
      </c>
      <c r="G33" s="4">
        <v>74.803149606299215</v>
      </c>
      <c r="H33">
        <v>6</v>
      </c>
      <c r="I33">
        <v>2.8</v>
      </c>
      <c r="J33" t="s">
        <v>66</v>
      </c>
      <c r="K33">
        <v>454</v>
      </c>
      <c r="L33">
        <v>5</v>
      </c>
      <c r="M33" s="8">
        <v>5</v>
      </c>
    </row>
    <row r="34" spans="1:13">
      <c r="A34" s="1" t="s">
        <v>108</v>
      </c>
      <c r="B34" s="1"/>
      <c r="C34" s="1" t="s">
        <v>38</v>
      </c>
      <c r="D34" s="2">
        <v>184</v>
      </c>
      <c r="E34" s="2">
        <v>200</v>
      </c>
      <c r="F34" s="5">
        <v>59.073724007561438</v>
      </c>
      <c r="G34" s="4">
        <v>72.440944881889763</v>
      </c>
      <c r="H34">
        <v>6</v>
      </c>
      <c r="I34">
        <v>0.4</v>
      </c>
      <c r="J34" t="s">
        <v>73</v>
      </c>
      <c r="K34">
        <v>441</v>
      </c>
      <c r="L34">
        <v>24</v>
      </c>
      <c r="M34" s="8">
        <v>5</v>
      </c>
    </row>
    <row r="35" spans="1:13">
      <c r="A35" s="1" t="s">
        <v>90</v>
      </c>
      <c r="B35" s="1"/>
      <c r="C35" s="1" t="s">
        <v>23</v>
      </c>
      <c r="D35" s="2">
        <v>190</v>
      </c>
      <c r="E35" s="2">
        <v>158</v>
      </c>
      <c r="F35" s="5">
        <v>43.767313019390578</v>
      </c>
      <c r="G35" s="4">
        <v>74.803149606299215</v>
      </c>
      <c r="H35">
        <v>6</v>
      </c>
      <c r="I35">
        <v>2.8</v>
      </c>
      <c r="J35" t="s">
        <v>66</v>
      </c>
      <c r="K35">
        <v>348</v>
      </c>
      <c r="L35">
        <v>6</v>
      </c>
      <c r="M35" s="8">
        <v>6</v>
      </c>
    </row>
    <row r="36" spans="1:13">
      <c r="A36" s="1" t="s">
        <v>93</v>
      </c>
      <c r="B36" s="1"/>
      <c r="C36" s="1" t="s">
        <v>25</v>
      </c>
      <c r="D36" s="2">
        <v>188</v>
      </c>
      <c r="E36" s="2">
        <v>154</v>
      </c>
      <c r="F36" s="5">
        <v>43.571751923947488</v>
      </c>
      <c r="G36" s="4">
        <v>74.015748031496059</v>
      </c>
      <c r="H36">
        <v>6</v>
      </c>
      <c r="I36">
        <v>2</v>
      </c>
      <c r="J36" t="s">
        <v>68</v>
      </c>
      <c r="K36">
        <v>340</v>
      </c>
      <c r="L36">
        <v>9</v>
      </c>
      <c r="M36" s="8">
        <v>6</v>
      </c>
    </row>
    <row r="37" spans="1:13">
      <c r="A37" s="1" t="s">
        <v>97</v>
      </c>
      <c r="B37" s="1"/>
      <c r="C37" s="1" t="s">
        <v>28</v>
      </c>
      <c r="D37" s="2">
        <v>187</v>
      </c>
      <c r="E37" s="2">
        <v>155</v>
      </c>
      <c r="F37" s="5">
        <v>44.324973547999662</v>
      </c>
      <c r="G37" s="4">
        <v>73.622047244094489</v>
      </c>
      <c r="H37">
        <v>6</v>
      </c>
      <c r="I37">
        <v>1.6</v>
      </c>
      <c r="J37" t="s">
        <v>69</v>
      </c>
      <c r="K37">
        <v>342</v>
      </c>
      <c r="L37">
        <v>13</v>
      </c>
      <c r="M37" s="8">
        <v>6</v>
      </c>
    </row>
    <row r="38" spans="1:13">
      <c r="A38" s="1" t="s">
        <v>98</v>
      </c>
      <c r="B38" s="1"/>
      <c r="C38" s="1" t="s">
        <v>29</v>
      </c>
      <c r="D38" s="2">
        <v>187</v>
      </c>
      <c r="E38" s="2">
        <v>145</v>
      </c>
      <c r="F38" s="5">
        <v>41.465297835225485</v>
      </c>
      <c r="G38" s="4">
        <v>73.622047244094489</v>
      </c>
      <c r="H38">
        <v>6</v>
      </c>
      <c r="I38">
        <v>1.6</v>
      </c>
      <c r="J38" t="s">
        <v>69</v>
      </c>
      <c r="K38">
        <v>320</v>
      </c>
      <c r="L38">
        <v>14</v>
      </c>
      <c r="M38" s="8">
        <v>6</v>
      </c>
    </row>
    <row r="39" spans="1:13">
      <c r="A39" s="1" t="s">
        <v>99</v>
      </c>
      <c r="B39" s="1"/>
      <c r="C39" s="1" t="s">
        <v>30</v>
      </c>
      <c r="D39" s="2">
        <v>183</v>
      </c>
      <c r="E39" s="2">
        <v>148</v>
      </c>
      <c r="F39" s="5">
        <v>44.193615814147932</v>
      </c>
      <c r="G39" s="4">
        <v>72.047244094488192</v>
      </c>
      <c r="H39">
        <v>6</v>
      </c>
      <c r="I39">
        <v>0</v>
      </c>
      <c r="J39" t="s">
        <v>70</v>
      </c>
      <c r="K39">
        <v>326</v>
      </c>
      <c r="L39">
        <v>15</v>
      </c>
      <c r="M39" s="8">
        <v>6</v>
      </c>
    </row>
    <row r="40" spans="1:13">
      <c r="A40" s="1" t="s">
        <v>115</v>
      </c>
      <c r="B40" s="1"/>
      <c r="C40" s="1" t="s">
        <v>45</v>
      </c>
      <c r="D40" s="2">
        <v>181</v>
      </c>
      <c r="E40" s="2">
        <v>146</v>
      </c>
      <c r="F40" s="5">
        <v>44.565184212936117</v>
      </c>
      <c r="G40" s="4">
        <v>71.259842519685037</v>
      </c>
      <c r="H40">
        <v>5</v>
      </c>
      <c r="I40">
        <v>11.3</v>
      </c>
      <c r="J40" t="s">
        <v>75</v>
      </c>
      <c r="K40">
        <v>322</v>
      </c>
      <c r="L40">
        <v>31</v>
      </c>
      <c r="M40" s="8">
        <v>6</v>
      </c>
    </row>
    <row r="41" spans="1:13">
      <c r="A41" s="1" t="s">
        <v>117</v>
      </c>
      <c r="C41" s="1" t="s">
        <v>42</v>
      </c>
      <c r="D41" s="2">
        <v>180</v>
      </c>
      <c r="E41" s="2">
        <v>148</v>
      </c>
      <c r="F41" s="5">
        <v>45.67901234567902</v>
      </c>
      <c r="G41" s="4">
        <v>70.866141732283467</v>
      </c>
      <c r="H41">
        <v>5</v>
      </c>
      <c r="I41">
        <v>10.9</v>
      </c>
      <c r="J41" t="s">
        <v>76</v>
      </c>
      <c r="K41">
        <v>326</v>
      </c>
      <c r="L41">
        <v>33</v>
      </c>
      <c r="M41" s="8">
        <v>6</v>
      </c>
    </row>
    <row r="42" spans="1:13">
      <c r="A42" s="1" t="s">
        <v>118</v>
      </c>
      <c r="B42" s="1"/>
      <c r="C42" s="1" t="s">
        <v>46</v>
      </c>
      <c r="D42" s="2">
        <v>179</v>
      </c>
      <c r="E42" s="2">
        <v>152</v>
      </c>
      <c r="F42" s="5">
        <v>47.439218501295215</v>
      </c>
      <c r="G42" s="4">
        <v>70.472440944881896</v>
      </c>
      <c r="H42">
        <v>5</v>
      </c>
      <c r="I42">
        <v>10.5</v>
      </c>
      <c r="J42" t="s">
        <v>77</v>
      </c>
      <c r="K42">
        <v>335</v>
      </c>
      <c r="L42">
        <v>34</v>
      </c>
      <c r="M42" s="8">
        <v>6</v>
      </c>
    </row>
    <row r="43" spans="1:13">
      <c r="A43" s="1" t="s">
        <v>120</v>
      </c>
      <c r="B43" s="1"/>
      <c r="C43" s="1" t="s">
        <v>47</v>
      </c>
      <c r="D43" s="2">
        <v>177</v>
      </c>
      <c r="E43" s="2">
        <v>159</v>
      </c>
      <c r="F43" s="5">
        <v>50.751699703150436</v>
      </c>
      <c r="G43" s="4">
        <v>69.685039370078741</v>
      </c>
      <c r="H43">
        <v>5</v>
      </c>
      <c r="I43">
        <v>9.6999999999999993</v>
      </c>
      <c r="J43" t="s">
        <v>79</v>
      </c>
      <c r="K43">
        <v>351</v>
      </c>
      <c r="L43">
        <v>36</v>
      </c>
      <c r="M43" s="8">
        <v>6</v>
      </c>
    </row>
    <row r="44" spans="1:13">
      <c r="A44" s="1" t="s">
        <v>121</v>
      </c>
      <c r="B44" s="1"/>
      <c r="C44" s="1" t="s">
        <v>48</v>
      </c>
      <c r="D44" s="2">
        <v>176</v>
      </c>
      <c r="E44" s="2">
        <v>147</v>
      </c>
      <c r="F44" s="5">
        <v>47.456095041322314</v>
      </c>
      <c r="G44" s="4">
        <v>69.29133858267717</v>
      </c>
      <c r="H44">
        <v>5</v>
      </c>
      <c r="I44">
        <v>9.3000000000000007</v>
      </c>
      <c r="J44" t="s">
        <v>80</v>
      </c>
      <c r="K44">
        <v>324</v>
      </c>
      <c r="L44">
        <v>37</v>
      </c>
      <c r="M44" s="9">
        <v>6</v>
      </c>
    </row>
  </sheetData>
  <sortState xmlns:xlrd2="http://schemas.microsoft.com/office/spreadsheetml/2017/richdata2" ref="A3:M44">
    <sortCondition ref="M3:M44"/>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C1AF-4C19-4A9E-AB65-D727E22ED583}">
  <sheetPr codeName="Sheet8"/>
  <dimension ref="A1"/>
  <sheetViews>
    <sheetView zoomScale="85" zoomScaleNormal="85" workbookViewId="0">
      <selection sqref="A1:E1048576"/>
    </sheetView>
  </sheetViews>
  <sheetFormatPr defaultRowHeight="14.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B3E5-F73A-4522-A23E-9F2B4CD54AC9}">
  <dimension ref="A1:AC57"/>
  <sheetViews>
    <sheetView zoomScaleNormal="100" workbookViewId="0">
      <pane xSplit="1" ySplit="3" topLeftCell="G24" activePane="bottomRight" state="frozen"/>
      <selection pane="topRight" activeCell="B1" sqref="B1"/>
      <selection pane="bottomLeft" activeCell="A4" sqref="A4"/>
      <selection pane="bottomRight" activeCell="K38" sqref="K38"/>
    </sheetView>
  </sheetViews>
  <sheetFormatPr defaultRowHeight="14.5" outlineLevelCol="1"/>
  <cols>
    <col min="1" max="1" width="21.1796875" customWidth="1"/>
    <col min="2" max="6" width="21.1796875" hidden="1" customWidth="1" outlineLevel="1"/>
    <col min="7" max="7" width="21.1796875" customWidth="1" collapsed="1"/>
    <col min="8" max="10" width="21.1796875" customWidth="1"/>
    <col min="13" max="13" width="11.26953125" bestFit="1" customWidth="1"/>
    <col min="14" max="14" width="8.7265625" style="4"/>
    <col min="21" max="21" width="9.54296875" customWidth="1"/>
    <col min="25" max="25" width="17.81640625" customWidth="1"/>
  </cols>
  <sheetData>
    <row r="1" spans="1:29">
      <c r="C1" t="s">
        <v>174</v>
      </c>
      <c r="K1" t="s">
        <v>234</v>
      </c>
    </row>
    <row r="2" spans="1:29">
      <c r="C2" s="17" t="s">
        <v>162</v>
      </c>
      <c r="D2" s="17"/>
      <c r="E2" s="17"/>
      <c r="F2" s="17"/>
      <c r="G2" s="17"/>
      <c r="H2" s="17"/>
      <c r="S2" t="e">
        <f>MAX(S4:S45)</f>
        <v>#N/A</v>
      </c>
      <c r="T2" t="e">
        <f>MAX(T4:T45)</f>
        <v>#N/A</v>
      </c>
      <c r="U2" t="e">
        <f>MAX(U4:U45)</f>
        <v>#N/A</v>
      </c>
    </row>
    <row r="3" spans="1:29">
      <c r="A3" t="s">
        <v>3</v>
      </c>
      <c r="B3" t="s">
        <v>11</v>
      </c>
      <c r="C3" t="s">
        <v>131</v>
      </c>
      <c r="D3" t="s">
        <v>163</v>
      </c>
      <c r="E3" t="s">
        <v>175</v>
      </c>
      <c r="F3" t="s">
        <v>185</v>
      </c>
      <c r="G3" t="s">
        <v>230</v>
      </c>
      <c r="H3" t="s">
        <v>237</v>
      </c>
      <c r="I3" t="s">
        <v>177</v>
      </c>
      <c r="J3" t="s">
        <v>238</v>
      </c>
      <c r="K3" t="s">
        <v>5</v>
      </c>
      <c r="L3" t="s">
        <v>4</v>
      </c>
      <c r="M3" t="s">
        <v>26</v>
      </c>
      <c r="N3" s="4" t="s">
        <v>6</v>
      </c>
      <c r="O3" t="s">
        <v>7</v>
      </c>
      <c r="P3" t="s">
        <v>8</v>
      </c>
      <c r="Q3" t="s">
        <v>9</v>
      </c>
      <c r="R3" t="s">
        <v>10</v>
      </c>
      <c r="S3" t="s">
        <v>171</v>
      </c>
      <c r="T3" t="s">
        <v>172</v>
      </c>
      <c r="U3" t="s">
        <v>173</v>
      </c>
      <c r="V3" t="s">
        <v>216</v>
      </c>
      <c r="W3" s="14" t="s">
        <v>182</v>
      </c>
      <c r="X3" t="s">
        <v>217</v>
      </c>
      <c r="Y3" t="s">
        <v>219</v>
      </c>
      <c r="AA3">
        <f>SUM(AA4:AA10)</f>
        <v>33</v>
      </c>
      <c r="AB3">
        <f>AA3-AA5</f>
        <v>18</v>
      </c>
      <c r="AC3">
        <f>AB3/AA3</f>
        <v>0.54545454545454541</v>
      </c>
    </row>
    <row r="4" spans="1:29">
      <c r="A4" s="1" t="s">
        <v>86</v>
      </c>
      <c r="B4" s="1">
        <v>8</v>
      </c>
      <c r="C4" s="1" t="s">
        <v>14</v>
      </c>
      <c r="D4" s="1" t="s">
        <v>14</v>
      </c>
      <c r="E4" s="1" t="s">
        <v>14</v>
      </c>
      <c r="F4" s="1" t="s">
        <v>14</v>
      </c>
      <c r="G4" s="1" t="s">
        <v>14</v>
      </c>
      <c r="H4" s="1" t="s">
        <v>14</v>
      </c>
      <c r="I4" s="1">
        <f>_xlfn.XLOOKUP(H4,'rank lookup'!$A$1:$A$21,'rank lookup'!$B$1:$B$21,,0)</f>
        <v>1</v>
      </c>
      <c r="J4" s="1"/>
      <c r="K4" s="25">
        <v>192</v>
      </c>
      <c r="L4" s="25">
        <v>174</v>
      </c>
      <c r="M4" s="5">
        <f t="shared" ref="M4:M36" si="0">L4/(K4*K4)*10000</f>
        <v>47.200520833333329</v>
      </c>
      <c r="N4" s="4">
        <f t="shared" ref="N4:N36" si="1">CONVERT(K4,"cm","in")</f>
        <v>75.59055118110237</v>
      </c>
      <c r="O4">
        <f t="shared" ref="O4:O36" si="2">_xlfn.FLOOR.MATH(N4/12)</f>
        <v>6</v>
      </c>
      <c r="P4">
        <f t="shared" ref="P4:P36" si="3">ROUND(N4-O4*12,1)</f>
        <v>3.6</v>
      </c>
      <c r="Q4" t="str">
        <f t="shared" ref="Q4:Q36" si="4">O4&amp;"' "&amp;P4&amp;""""</f>
        <v>6' 3.6"</v>
      </c>
      <c r="R4">
        <f t="shared" ref="R4:R36" si="5">ROUND(CONVERT(L4,"kg","lbm"),0)</f>
        <v>384</v>
      </c>
      <c r="S4">
        <f>_xlfn.RANK.EQ(K4,K$4:K$45)</f>
        <v>2</v>
      </c>
      <c r="T4">
        <f>_xlfn.RANK.EQ(L4,L$4:L$45)</f>
        <v>10</v>
      </c>
      <c r="U4">
        <f>_xlfn.RANK.EQ(M4,M$4:M$45)</f>
        <v>19</v>
      </c>
      <c r="V4">
        <f>_xlfn.XLOOKUP(A4,'January 2023 Data'!$A$4:$A$49,'January 2023 Data'!$H$4:$H$49,,0)</f>
        <v>192</v>
      </c>
      <c r="W4">
        <f>K4-V4</f>
        <v>0</v>
      </c>
      <c r="X4" t="s">
        <v>218</v>
      </c>
      <c r="Y4" t="str">
        <f>A4&amp;", "&amp;X4</f>
        <v>Terunofuji, OUT</v>
      </c>
      <c r="Z4" cm="1">
        <f t="array" ref="Z4:Z10">_xlfn.SEQUENCE(7,1,-1)</f>
        <v>-1</v>
      </c>
      <c r="AA4">
        <f>COUNTIF(W$4:W$45,Z4)</f>
        <v>6</v>
      </c>
    </row>
    <row r="5" spans="1:29">
      <c r="A5" s="1" t="s">
        <v>123</v>
      </c>
      <c r="B5" s="1">
        <v>2</v>
      </c>
      <c r="C5" s="1" t="s">
        <v>39</v>
      </c>
      <c r="D5" s="1" t="s">
        <v>39</v>
      </c>
      <c r="E5" s="1" t="s">
        <v>39</v>
      </c>
      <c r="F5" s="1" t="s">
        <v>39</v>
      </c>
      <c r="G5" s="1" t="s">
        <v>39</v>
      </c>
      <c r="H5" s="1" t="s">
        <v>39</v>
      </c>
      <c r="I5" s="1">
        <f>_xlfn.XLOOKUP(H5,'rank lookup'!$A$1:$A$21,'rank lookup'!$B$1:$B$21,,0)</f>
        <v>2</v>
      </c>
      <c r="J5" s="1"/>
      <c r="K5" s="23">
        <v>175</v>
      </c>
      <c r="L5" s="23">
        <v>165</v>
      </c>
      <c r="M5" s="5">
        <f t="shared" si="0"/>
        <v>53.877551020408163</v>
      </c>
      <c r="N5" s="4">
        <f t="shared" si="1"/>
        <v>68.897637795275585</v>
      </c>
      <c r="O5">
        <f t="shared" si="2"/>
        <v>5</v>
      </c>
      <c r="P5">
        <f t="shared" si="3"/>
        <v>8.9</v>
      </c>
      <c r="Q5" t="str">
        <f t="shared" si="4"/>
        <v>5' 8.9"</v>
      </c>
      <c r="R5">
        <f t="shared" si="5"/>
        <v>364</v>
      </c>
      <c r="S5">
        <f t="shared" ref="S5:U45" si="6">_xlfn.RANK.EQ(K5,K$4:K$45)</f>
        <v>35</v>
      </c>
      <c r="T5">
        <f t="shared" si="6"/>
        <v>17</v>
      </c>
      <c r="U5">
        <f t="shared" si="6"/>
        <v>4</v>
      </c>
      <c r="V5">
        <f>_xlfn.XLOOKUP(A5,'January 2023 Data'!$A$4:$A$49,'January 2023 Data'!$H$4:$H$49,,0)</f>
        <v>175</v>
      </c>
      <c r="W5">
        <f t="shared" ref="W5:W53" si="7">K5-V5</f>
        <v>0</v>
      </c>
      <c r="X5" t="s">
        <v>218</v>
      </c>
      <c r="Y5" t="str">
        <f t="shared" ref="Y5:Y57" si="8">A5&amp;", "&amp;X5</f>
        <v>Takakeisho, OUT</v>
      </c>
      <c r="Z5">
        <v>0</v>
      </c>
      <c r="AA5">
        <f t="shared" ref="AA5:AA10" si="9">COUNTIF(W$4:W$45,Z5)</f>
        <v>15</v>
      </c>
    </row>
    <row r="6" spans="1:29" ht="25">
      <c r="A6" s="1" t="s">
        <v>239</v>
      </c>
      <c r="B6" s="1"/>
      <c r="C6" s="1" t="s">
        <v>42</v>
      </c>
      <c r="D6" s="1" t="s">
        <v>42</v>
      </c>
      <c r="E6" s="1" t="s">
        <v>42</v>
      </c>
      <c r="F6" s="1" t="s">
        <v>31</v>
      </c>
      <c r="G6" s="1" t="s">
        <v>31</v>
      </c>
      <c r="H6" s="1" t="s">
        <v>39</v>
      </c>
      <c r="I6" s="1">
        <f>_xlfn.XLOOKUP(H6,'rank lookup'!$A$1:$A$21,'rank lookup'!$B$1:$B$21,,0)</f>
        <v>2</v>
      </c>
      <c r="J6" s="1" t="s">
        <v>240</v>
      </c>
      <c r="K6" s="23">
        <v>186</v>
      </c>
      <c r="L6" s="23">
        <v>143</v>
      </c>
      <c r="M6" s="5">
        <f t="shared" si="0"/>
        <v>41.334258295756733</v>
      </c>
      <c r="N6" s="4">
        <f t="shared" si="1"/>
        <v>73.228346456692918</v>
      </c>
      <c r="O6">
        <f t="shared" si="2"/>
        <v>6</v>
      </c>
      <c r="P6">
        <f t="shared" si="3"/>
        <v>1.2</v>
      </c>
      <c r="Q6" t="str">
        <f t="shared" si="4"/>
        <v>6' 1.2"</v>
      </c>
      <c r="R6">
        <f t="shared" si="5"/>
        <v>315</v>
      </c>
      <c r="S6">
        <f t="shared" si="6"/>
        <v>15</v>
      </c>
      <c r="T6">
        <f t="shared" si="6"/>
        <v>30</v>
      </c>
      <c r="U6">
        <f t="shared" si="6"/>
        <v>35</v>
      </c>
      <c r="V6" t="e">
        <f>_xlfn.XLOOKUP(A6,'January 2023 Data'!$A$4:$A$49,'January 2023 Data'!$H$4:$H$49,,0)</f>
        <v>#N/A</v>
      </c>
      <c r="W6" t="e">
        <f t="shared" si="7"/>
        <v>#N/A</v>
      </c>
      <c r="X6" s="21" t="s">
        <v>220</v>
      </c>
      <c r="Y6" t="str">
        <f t="shared" si="8"/>
        <v>Kirishima, 7-6</v>
      </c>
      <c r="Z6">
        <v>1</v>
      </c>
      <c r="AA6">
        <f t="shared" si="9"/>
        <v>9</v>
      </c>
    </row>
    <row r="7" spans="1:29">
      <c r="A7" s="1" t="s">
        <v>95</v>
      </c>
      <c r="B7" s="1"/>
      <c r="C7" s="1" t="s">
        <v>31</v>
      </c>
      <c r="D7" s="1" t="s">
        <v>31</v>
      </c>
      <c r="E7" s="1" t="s">
        <v>31</v>
      </c>
      <c r="F7" s="1" t="s">
        <v>31</v>
      </c>
      <c r="G7" s="1" t="s">
        <v>31</v>
      </c>
      <c r="H7" s="1" t="s">
        <v>31</v>
      </c>
      <c r="I7" s="1">
        <f>_xlfn.XLOOKUP(H7,'rank lookup'!$A$1:$A$21,'rank lookup'!$B$1:$B$21,,0)</f>
        <v>3</v>
      </c>
      <c r="J7" s="1"/>
      <c r="K7" s="23">
        <v>188</v>
      </c>
      <c r="L7" s="23">
        <v>142</v>
      </c>
      <c r="M7" s="5">
        <f t="shared" si="0"/>
        <v>40.176550475328199</v>
      </c>
      <c r="N7" s="4">
        <f t="shared" si="1"/>
        <v>74.015748031496059</v>
      </c>
      <c r="O7">
        <f t="shared" si="2"/>
        <v>6</v>
      </c>
      <c r="P7">
        <f t="shared" si="3"/>
        <v>2</v>
      </c>
      <c r="Q7" t="str">
        <f t="shared" si="4"/>
        <v>6' 2"</v>
      </c>
      <c r="R7">
        <f t="shared" si="5"/>
        <v>313</v>
      </c>
      <c r="S7">
        <f t="shared" si="6"/>
        <v>10</v>
      </c>
      <c r="T7">
        <f t="shared" si="6"/>
        <v>32</v>
      </c>
      <c r="U7">
        <f t="shared" si="6"/>
        <v>37</v>
      </c>
      <c r="V7">
        <f>_xlfn.XLOOKUP(A7,'January 2023 Data'!$A$4:$A$49,'January 2023 Data'!$H$4:$H$49,,0)</f>
        <v>185</v>
      </c>
      <c r="W7">
        <f t="shared" si="7"/>
        <v>3</v>
      </c>
      <c r="X7" s="22" t="s">
        <v>221</v>
      </c>
      <c r="Y7" t="str">
        <f t="shared" si="8"/>
        <v>Hoshoryu, 9-4</v>
      </c>
      <c r="Z7">
        <v>2</v>
      </c>
      <c r="AA7">
        <f t="shared" si="9"/>
        <v>2</v>
      </c>
    </row>
    <row r="8" spans="1:29">
      <c r="A8" s="1" t="s">
        <v>100</v>
      </c>
      <c r="B8" s="1"/>
      <c r="C8" s="1" t="s">
        <v>141</v>
      </c>
      <c r="D8" s="1" t="s">
        <v>139</v>
      </c>
      <c r="E8" s="1" t="s">
        <v>42</v>
      </c>
      <c r="F8" s="1" t="s">
        <v>42</v>
      </c>
      <c r="G8" s="1" t="s">
        <v>31</v>
      </c>
      <c r="H8" s="1" t="s">
        <v>31</v>
      </c>
      <c r="I8" s="1">
        <f>_xlfn.XLOOKUP(H8,'rank lookup'!$A$1:$A$21,'rank lookup'!$B$1:$B$21,,0)</f>
        <v>3</v>
      </c>
      <c r="J8" s="1"/>
      <c r="K8" s="23">
        <v>187</v>
      </c>
      <c r="L8" s="23">
        <v>147</v>
      </c>
      <c r="M8" s="5">
        <f t="shared" si="0"/>
        <v>42.03723297778032</v>
      </c>
      <c r="N8" s="4">
        <f t="shared" si="1"/>
        <v>73.622047244094489</v>
      </c>
      <c r="O8">
        <f t="shared" si="2"/>
        <v>6</v>
      </c>
      <c r="P8">
        <f t="shared" si="3"/>
        <v>1.6</v>
      </c>
      <c r="Q8" t="str">
        <f t="shared" si="4"/>
        <v>6' 1.6"</v>
      </c>
      <c r="R8">
        <f t="shared" si="5"/>
        <v>324</v>
      </c>
      <c r="S8">
        <f t="shared" si="6"/>
        <v>14</v>
      </c>
      <c r="T8">
        <f t="shared" si="6"/>
        <v>29</v>
      </c>
      <c r="U8">
        <f t="shared" si="6"/>
        <v>34</v>
      </c>
      <c r="V8">
        <f>_xlfn.XLOOKUP(A8,'January 2023 Data'!$A$4:$A$49,'January 2023 Data'!$H$4:$H$49,,0)</f>
        <v>186</v>
      </c>
      <c r="W8">
        <f t="shared" si="7"/>
        <v>1</v>
      </c>
      <c r="X8" s="22" t="s">
        <v>222</v>
      </c>
      <c r="Y8" t="str">
        <f t="shared" si="8"/>
        <v>Wakamotoharu, 10-3</v>
      </c>
      <c r="Z8">
        <v>3</v>
      </c>
      <c r="AA8">
        <f t="shared" si="9"/>
        <v>1</v>
      </c>
    </row>
    <row r="9" spans="1:29">
      <c r="A9" s="1" t="s">
        <v>112</v>
      </c>
      <c r="B9" s="1">
        <v>1</v>
      </c>
      <c r="C9" s="1" t="s">
        <v>31</v>
      </c>
      <c r="D9" s="1" t="s">
        <v>42</v>
      </c>
      <c r="E9" s="1" t="s">
        <v>132</v>
      </c>
      <c r="F9" s="1" t="s">
        <v>42</v>
      </c>
      <c r="G9" s="1" t="s">
        <v>31</v>
      </c>
      <c r="H9" s="1" t="s">
        <v>31</v>
      </c>
      <c r="I9" s="1">
        <f>_xlfn.XLOOKUP(H9,'rank lookup'!$A$1:$A$21,'rank lookup'!$B$1:$B$21,,0)</f>
        <v>3</v>
      </c>
      <c r="J9" s="1"/>
      <c r="K9" s="23">
        <v>182</v>
      </c>
      <c r="L9" s="23">
        <v>164</v>
      </c>
      <c r="M9" s="5">
        <f t="shared" si="0"/>
        <v>49.510928631807751</v>
      </c>
      <c r="N9" s="4">
        <f t="shared" si="1"/>
        <v>71.653543307086608</v>
      </c>
      <c r="O9">
        <f t="shared" si="2"/>
        <v>5</v>
      </c>
      <c r="P9">
        <f t="shared" si="3"/>
        <v>11.7</v>
      </c>
      <c r="Q9" t="str">
        <f t="shared" si="4"/>
        <v>5' 11.7"</v>
      </c>
      <c r="R9">
        <f t="shared" si="5"/>
        <v>362</v>
      </c>
      <c r="S9">
        <f t="shared" si="6"/>
        <v>27</v>
      </c>
      <c r="T9">
        <f t="shared" si="6"/>
        <v>19</v>
      </c>
      <c r="U9">
        <f t="shared" si="6"/>
        <v>12</v>
      </c>
      <c r="V9">
        <f>_xlfn.XLOOKUP(A9,'January 2023 Data'!$A$4:$A$49,'January 2023 Data'!$H$4:$H$49,,0)</f>
        <v>182</v>
      </c>
      <c r="W9">
        <f t="shared" si="7"/>
        <v>0</v>
      </c>
      <c r="X9" s="22" t="s">
        <v>221</v>
      </c>
      <c r="Y9" t="str">
        <f t="shared" si="8"/>
        <v>Daieisho, 9-4</v>
      </c>
      <c r="Z9">
        <v>4</v>
      </c>
      <c r="AA9">
        <f t="shared" si="9"/>
        <v>0</v>
      </c>
    </row>
    <row r="10" spans="1:29">
      <c r="A10" s="1" t="s">
        <v>94</v>
      </c>
      <c r="B10" s="1"/>
      <c r="C10" s="1" t="s">
        <v>136</v>
      </c>
      <c r="D10" s="1" t="s">
        <v>132</v>
      </c>
      <c r="E10" s="1" t="s">
        <v>42</v>
      </c>
      <c r="F10" s="1" t="s">
        <v>42</v>
      </c>
      <c r="G10" s="1" t="s">
        <v>42</v>
      </c>
      <c r="H10" s="1" t="s">
        <v>42</v>
      </c>
      <c r="I10" s="1">
        <f>_xlfn.XLOOKUP(H10,'rank lookup'!$A$1:$A$21,'rank lookup'!$B$1:$B$21,,0)</f>
        <v>4</v>
      </c>
      <c r="J10" s="1"/>
      <c r="K10" s="23">
        <v>189</v>
      </c>
      <c r="L10" s="23">
        <v>176</v>
      </c>
      <c r="M10" s="5">
        <f t="shared" si="0"/>
        <v>49.270737101424935</v>
      </c>
      <c r="N10" s="4">
        <f t="shared" si="1"/>
        <v>74.409448818897644</v>
      </c>
      <c r="O10">
        <f t="shared" si="2"/>
        <v>6</v>
      </c>
      <c r="P10">
        <f t="shared" si="3"/>
        <v>2.4</v>
      </c>
      <c r="Q10" t="str">
        <f t="shared" si="4"/>
        <v>6' 2.4"</v>
      </c>
      <c r="R10">
        <f t="shared" si="5"/>
        <v>388</v>
      </c>
      <c r="S10">
        <f t="shared" si="6"/>
        <v>7</v>
      </c>
      <c r="T10">
        <f t="shared" si="6"/>
        <v>9</v>
      </c>
      <c r="U10">
        <f t="shared" si="6"/>
        <v>14</v>
      </c>
      <c r="V10">
        <f>_xlfn.XLOOKUP(A10,'January 2023 Data'!$A$4:$A$49,'January 2023 Data'!$H$4:$H$49,,0)</f>
        <v>189</v>
      </c>
      <c r="W10">
        <f t="shared" si="7"/>
        <v>0</v>
      </c>
      <c r="X10" s="22" t="s">
        <v>222</v>
      </c>
      <c r="Y10" t="str">
        <f t="shared" si="8"/>
        <v>Kotonowaka, 10-3</v>
      </c>
      <c r="Z10">
        <v>5</v>
      </c>
      <c r="AA10">
        <f t="shared" si="9"/>
        <v>0</v>
      </c>
    </row>
    <row r="11" spans="1:29">
      <c r="A11" s="1" t="s">
        <v>93</v>
      </c>
      <c r="B11" s="1">
        <v>1</v>
      </c>
      <c r="C11" s="1" t="s">
        <v>42</v>
      </c>
      <c r="D11" s="1" t="s">
        <v>143</v>
      </c>
      <c r="E11" s="1" t="s">
        <v>137</v>
      </c>
      <c r="F11" s="1" t="s">
        <v>136</v>
      </c>
      <c r="G11" s="1" t="s">
        <v>132</v>
      </c>
      <c r="H11" s="1" t="s">
        <v>42</v>
      </c>
      <c r="I11" s="1">
        <f>_xlfn.XLOOKUP(H11,'rank lookup'!$A$1:$A$21,'rank lookup'!$B$1:$B$21,,0)</f>
        <v>4</v>
      </c>
      <c r="J11" s="1"/>
      <c r="K11" s="23">
        <v>186</v>
      </c>
      <c r="L11" s="23">
        <v>158</v>
      </c>
      <c r="M11" s="5">
        <f t="shared" si="0"/>
        <v>45.670019655451505</v>
      </c>
      <c r="N11" s="4">
        <f t="shared" si="1"/>
        <v>73.228346456692918</v>
      </c>
      <c r="O11">
        <f t="shared" si="2"/>
        <v>6</v>
      </c>
      <c r="P11">
        <f t="shared" si="3"/>
        <v>1.2</v>
      </c>
      <c r="Q11" t="str">
        <f t="shared" si="4"/>
        <v>6' 1.2"</v>
      </c>
      <c r="R11">
        <f t="shared" si="5"/>
        <v>348</v>
      </c>
      <c r="S11">
        <f t="shared" si="6"/>
        <v>15</v>
      </c>
      <c r="T11">
        <f t="shared" si="6"/>
        <v>22</v>
      </c>
      <c r="U11">
        <f t="shared" si="6"/>
        <v>23</v>
      </c>
      <c r="V11">
        <f>_xlfn.XLOOKUP(A11,'January 2023 Data'!$A$4:$A$49,'January 2023 Data'!$H$4:$H$49,,0)</f>
        <v>187</v>
      </c>
      <c r="W11">
        <f t="shared" si="7"/>
        <v>-1</v>
      </c>
      <c r="X11" s="22" t="s">
        <v>223</v>
      </c>
      <c r="Y11" t="str">
        <f t="shared" si="8"/>
        <v>Abi, 11-2</v>
      </c>
    </row>
    <row r="12" spans="1:29">
      <c r="A12" s="1" t="s">
        <v>124</v>
      </c>
      <c r="B12" s="1"/>
      <c r="C12" s="1" t="s">
        <v>132</v>
      </c>
      <c r="D12" s="1" t="s">
        <v>42</v>
      </c>
      <c r="E12" s="1" t="s">
        <v>132</v>
      </c>
      <c r="F12" s="1" t="s">
        <v>42</v>
      </c>
      <c r="G12" s="1" t="s">
        <v>137</v>
      </c>
      <c r="H12" s="1" t="s">
        <v>132</v>
      </c>
      <c r="I12" s="1">
        <f>_xlfn.XLOOKUP(H12,'rank lookup'!$A$1:$A$21,'rank lookup'!$B$1:$B$21,,0)</f>
        <v>5</v>
      </c>
      <c r="J12" s="1"/>
      <c r="K12" s="23">
        <v>174</v>
      </c>
      <c r="L12" s="23">
        <v>135</v>
      </c>
      <c r="M12" s="5">
        <f t="shared" si="0"/>
        <v>44.589774078478001</v>
      </c>
      <c r="N12" s="4">
        <f t="shared" si="1"/>
        <v>68.503937007874015</v>
      </c>
      <c r="O12">
        <f t="shared" si="2"/>
        <v>5</v>
      </c>
      <c r="P12">
        <f t="shared" si="3"/>
        <v>8.5</v>
      </c>
      <c r="Q12" t="str">
        <f t="shared" si="4"/>
        <v>5' 8.5"</v>
      </c>
      <c r="R12">
        <f t="shared" si="5"/>
        <v>298</v>
      </c>
      <c r="S12">
        <f t="shared" si="6"/>
        <v>37</v>
      </c>
      <c r="T12">
        <f t="shared" si="6"/>
        <v>35</v>
      </c>
      <c r="U12">
        <f t="shared" si="6"/>
        <v>24</v>
      </c>
      <c r="V12">
        <f>_xlfn.XLOOKUP(A12,'January 2023 Data'!$A$4:$A$49,'January 2023 Data'!$H$4:$H$49,,0)</f>
        <v>174</v>
      </c>
      <c r="W12">
        <f t="shared" si="7"/>
        <v>0</v>
      </c>
      <c r="X12" s="22" t="s">
        <v>224</v>
      </c>
      <c r="Y12" t="str">
        <f t="shared" si="8"/>
        <v>Tobizaru, 4-9</v>
      </c>
    </row>
    <row r="13" spans="1:29">
      <c r="A13" s="1" t="s">
        <v>138</v>
      </c>
      <c r="C13" s="1" t="s">
        <v>139</v>
      </c>
      <c r="D13" s="1" t="s">
        <v>141</v>
      </c>
      <c r="E13" s="1" t="s">
        <v>140</v>
      </c>
      <c r="F13" s="1" t="s">
        <v>137</v>
      </c>
      <c r="G13" s="1" t="s">
        <v>139</v>
      </c>
      <c r="H13" s="1" t="s">
        <v>132</v>
      </c>
      <c r="I13" s="1">
        <f>_xlfn.XLOOKUP(H13,'rank lookup'!$A$1:$A$21,'rank lookup'!$B$1:$B$21,,0)</f>
        <v>5</v>
      </c>
      <c r="J13" s="1"/>
      <c r="K13" s="23">
        <v>185</v>
      </c>
      <c r="L13" s="23">
        <v>180</v>
      </c>
      <c r="M13" s="5">
        <f t="shared" si="0"/>
        <v>52.593133674214762</v>
      </c>
      <c r="N13" s="4">
        <f t="shared" si="1"/>
        <v>72.834645669291348</v>
      </c>
      <c r="O13">
        <f t="shared" si="2"/>
        <v>6</v>
      </c>
      <c r="P13">
        <f t="shared" si="3"/>
        <v>0.8</v>
      </c>
      <c r="Q13" t="str">
        <f t="shared" si="4"/>
        <v>6' 0.8"</v>
      </c>
      <c r="R13">
        <f t="shared" si="5"/>
        <v>397</v>
      </c>
      <c r="S13">
        <f t="shared" si="6"/>
        <v>18</v>
      </c>
      <c r="T13">
        <f t="shared" si="6"/>
        <v>7</v>
      </c>
      <c r="U13">
        <f t="shared" si="6"/>
        <v>7</v>
      </c>
      <c r="V13">
        <f>_xlfn.XLOOKUP(A13,'January 2023 Data'!$A$4:$A$49,'January 2023 Data'!$H$4:$H$49,,0)</f>
        <v>184</v>
      </c>
      <c r="W13">
        <f t="shared" si="7"/>
        <v>1</v>
      </c>
      <c r="X13" s="22" t="s">
        <v>225</v>
      </c>
      <c r="Y13" t="str">
        <f t="shared" si="8"/>
        <v>Nishikigi, 8-5</v>
      </c>
    </row>
    <row r="14" spans="1:29">
      <c r="A14" s="1" t="s">
        <v>109</v>
      </c>
      <c r="B14" s="1">
        <v>1</v>
      </c>
      <c r="C14" s="1" t="s">
        <v>39</v>
      </c>
      <c r="D14" s="1" t="s">
        <v>39</v>
      </c>
      <c r="E14" s="1" t="s">
        <v>31</v>
      </c>
      <c r="F14" s="1" t="s">
        <v>132</v>
      </c>
      <c r="G14" s="1" t="s">
        <v>42</v>
      </c>
      <c r="H14" s="1" t="s">
        <v>136</v>
      </c>
      <c r="I14" s="1">
        <f>_xlfn.XLOOKUP(H14,'rank lookup'!$A$1:$A$21,'rank lookup'!$B$1:$B$21,,0)</f>
        <v>6</v>
      </c>
      <c r="J14" s="1"/>
      <c r="K14" s="23">
        <v>184</v>
      </c>
      <c r="L14" s="23">
        <v>161</v>
      </c>
      <c r="M14" s="5">
        <f t="shared" si="0"/>
        <v>47.554347826086961</v>
      </c>
      <c r="N14" s="4">
        <f t="shared" si="1"/>
        <v>72.440944881889763</v>
      </c>
      <c r="O14">
        <f t="shared" si="2"/>
        <v>6</v>
      </c>
      <c r="P14">
        <f t="shared" si="3"/>
        <v>0.4</v>
      </c>
      <c r="Q14" t="str">
        <f t="shared" si="4"/>
        <v>6' 0.4"</v>
      </c>
      <c r="R14">
        <f t="shared" si="5"/>
        <v>355</v>
      </c>
      <c r="S14">
        <f t="shared" si="6"/>
        <v>21</v>
      </c>
      <c r="T14">
        <f t="shared" si="6"/>
        <v>20</v>
      </c>
      <c r="U14">
        <f t="shared" si="6"/>
        <v>17</v>
      </c>
      <c r="V14">
        <f>_xlfn.XLOOKUP(A14,'January 2023 Data'!$A$4:$A$49,'January 2023 Data'!$H$4:$H$49,,0)</f>
        <v>183</v>
      </c>
      <c r="W14">
        <f t="shared" si="7"/>
        <v>1</v>
      </c>
      <c r="X14" s="22" t="s">
        <v>226</v>
      </c>
      <c r="Y14" t="str">
        <f t="shared" si="8"/>
        <v>Shodai, 3-10</v>
      </c>
    </row>
    <row r="15" spans="1:29">
      <c r="A15" s="1" t="s">
        <v>116</v>
      </c>
      <c r="B15" s="1">
        <v>2</v>
      </c>
      <c r="C15" s="1" t="s">
        <v>39</v>
      </c>
      <c r="D15" s="1" t="s">
        <v>31</v>
      </c>
      <c r="E15" s="1" t="s">
        <v>136</v>
      </c>
      <c r="F15" s="1" t="s">
        <v>137</v>
      </c>
      <c r="G15" s="1" t="s">
        <v>141</v>
      </c>
      <c r="H15" s="1" t="s">
        <v>136</v>
      </c>
      <c r="I15" s="1">
        <f>_xlfn.XLOOKUP(H15,'rank lookup'!$A$1:$A$21,'rank lookup'!$B$1:$B$21,,0)</f>
        <v>6</v>
      </c>
      <c r="J15" s="1"/>
      <c r="K15" s="23">
        <v>179</v>
      </c>
      <c r="L15" s="23">
        <v>170</v>
      </c>
      <c r="M15" s="5">
        <f t="shared" si="0"/>
        <v>53.057020692238069</v>
      </c>
      <c r="N15" s="4">
        <f t="shared" si="1"/>
        <v>70.472440944881896</v>
      </c>
      <c r="O15">
        <f t="shared" si="2"/>
        <v>5</v>
      </c>
      <c r="P15">
        <f t="shared" si="3"/>
        <v>10.5</v>
      </c>
      <c r="Q15" t="str">
        <f t="shared" si="4"/>
        <v>5' 10.5"</v>
      </c>
      <c r="R15">
        <f t="shared" si="5"/>
        <v>375</v>
      </c>
      <c r="S15">
        <f t="shared" si="6"/>
        <v>31</v>
      </c>
      <c r="T15">
        <f t="shared" si="6"/>
        <v>14</v>
      </c>
      <c r="U15">
        <f t="shared" si="6"/>
        <v>5</v>
      </c>
      <c r="V15">
        <f>_xlfn.XLOOKUP(A15,'January 2023 Data'!$A$4:$A$49,'January 2023 Data'!$H$4:$H$49,,0)</f>
        <v>179</v>
      </c>
      <c r="W15">
        <f t="shared" si="7"/>
        <v>0</v>
      </c>
      <c r="X15" s="22" t="s">
        <v>225</v>
      </c>
      <c r="Y15" t="str">
        <f t="shared" si="8"/>
        <v>Mitakeumi, 8-5</v>
      </c>
    </row>
    <row r="16" spans="1:29">
      <c r="A16" s="1" t="s">
        <v>133</v>
      </c>
      <c r="C16" t="s">
        <v>132</v>
      </c>
      <c r="D16" s="1" t="s">
        <v>137</v>
      </c>
      <c r="E16" s="1" t="s">
        <v>137</v>
      </c>
      <c r="F16" s="1" t="s">
        <v>140</v>
      </c>
      <c r="G16" s="1" t="s">
        <v>132</v>
      </c>
      <c r="H16" s="1" t="s">
        <v>137</v>
      </c>
      <c r="I16" s="1">
        <f>_xlfn.XLOOKUP(H16,'rank lookup'!$A$1:$A$21,'rank lookup'!$B$1:$B$21,,0)</f>
        <v>7</v>
      </c>
      <c r="J16" s="1"/>
      <c r="K16" s="23">
        <v>171</v>
      </c>
      <c r="L16" s="23">
        <v>116</v>
      </c>
      <c r="M16" s="5">
        <f t="shared" si="0"/>
        <v>39.670325912246504</v>
      </c>
      <c r="N16" s="4">
        <f t="shared" si="1"/>
        <v>67.322834645669289</v>
      </c>
      <c r="O16">
        <f t="shared" si="2"/>
        <v>5</v>
      </c>
      <c r="P16">
        <f t="shared" si="3"/>
        <v>7.3</v>
      </c>
      <c r="Q16" t="str">
        <f t="shared" si="4"/>
        <v>5' 7.3"</v>
      </c>
      <c r="R16">
        <f t="shared" si="5"/>
        <v>256</v>
      </c>
      <c r="S16">
        <f t="shared" si="6"/>
        <v>38</v>
      </c>
      <c r="T16">
        <f t="shared" si="6"/>
        <v>39</v>
      </c>
      <c r="U16">
        <f t="shared" si="6"/>
        <v>39</v>
      </c>
      <c r="V16">
        <f>_xlfn.XLOOKUP(A16,'January 2023 Data'!$A$4:$A$49,'January 2023 Data'!$H$4:$H$49,,0)</f>
        <v>171</v>
      </c>
      <c r="W16">
        <f t="shared" si="7"/>
        <v>0</v>
      </c>
      <c r="X16" s="22" t="s">
        <v>227</v>
      </c>
      <c r="Y16" t="str">
        <f t="shared" si="8"/>
        <v>Midorifuji, 8-12</v>
      </c>
    </row>
    <row r="17" spans="1:25">
      <c r="A17" s="1" t="s">
        <v>117</v>
      </c>
      <c r="B17" s="1"/>
      <c r="C17" s="1" t="s">
        <v>136</v>
      </c>
      <c r="D17" s="1" t="s">
        <v>136</v>
      </c>
      <c r="E17" s="1" t="s">
        <v>42</v>
      </c>
      <c r="F17" s="1" t="s">
        <v>139</v>
      </c>
      <c r="G17" s="1" t="s">
        <v>141</v>
      </c>
      <c r="H17" s="1" t="s">
        <v>137</v>
      </c>
      <c r="I17" s="1">
        <f>_xlfn.XLOOKUP(H17,'rank lookup'!$A$1:$A$21,'rank lookup'!$B$1:$B$21,,0)</f>
        <v>7</v>
      </c>
      <c r="J17" s="1"/>
      <c r="K17" s="23">
        <v>180</v>
      </c>
      <c r="L17" s="23">
        <v>154</v>
      </c>
      <c r="M17" s="5">
        <f t="shared" si="0"/>
        <v>47.530864197530867</v>
      </c>
      <c r="N17" s="4">
        <f t="shared" si="1"/>
        <v>70.866141732283467</v>
      </c>
      <c r="O17">
        <f t="shared" si="2"/>
        <v>5</v>
      </c>
      <c r="P17">
        <f t="shared" si="3"/>
        <v>10.9</v>
      </c>
      <c r="Q17" t="str">
        <f t="shared" si="4"/>
        <v>5' 10.9"</v>
      </c>
      <c r="R17">
        <f t="shared" si="5"/>
        <v>340</v>
      </c>
      <c r="S17">
        <f t="shared" si="6"/>
        <v>30</v>
      </c>
      <c r="T17">
        <f t="shared" si="6"/>
        <v>26</v>
      </c>
      <c r="U17">
        <f t="shared" si="6"/>
        <v>18</v>
      </c>
      <c r="V17">
        <f>_xlfn.XLOOKUP(A17,'January 2023 Data'!$A$4:$A$49,'January 2023 Data'!$H$4:$H$49,,0)</f>
        <v>180</v>
      </c>
      <c r="W17">
        <f t="shared" si="7"/>
        <v>0</v>
      </c>
      <c r="X17" s="22" t="s">
        <v>224</v>
      </c>
      <c r="Y17" t="str">
        <f t="shared" si="8"/>
        <v>Meisei, 4-9</v>
      </c>
    </row>
    <row r="18" spans="1:25">
      <c r="A18" s="1" t="s">
        <v>121</v>
      </c>
      <c r="B18" s="1"/>
      <c r="C18" s="1" t="s">
        <v>137</v>
      </c>
      <c r="D18" s="1" t="s">
        <v>137</v>
      </c>
      <c r="E18" s="1" t="s">
        <v>135</v>
      </c>
      <c r="F18" s="1" t="s">
        <v>142</v>
      </c>
      <c r="G18" s="1" t="s">
        <v>139</v>
      </c>
      <c r="H18" s="1" t="s">
        <v>139</v>
      </c>
      <c r="I18" s="1">
        <f>_xlfn.XLOOKUP(H18,'rank lookup'!$A$1:$A$21,'rank lookup'!$B$1:$B$21,,0)</f>
        <v>8</v>
      </c>
      <c r="J18" s="1"/>
      <c r="K18" s="23">
        <v>175</v>
      </c>
      <c r="L18" s="23">
        <v>143</v>
      </c>
      <c r="M18" s="5">
        <f t="shared" si="0"/>
        <v>46.693877551020407</v>
      </c>
      <c r="N18" s="4">
        <f t="shared" si="1"/>
        <v>68.897637795275585</v>
      </c>
      <c r="O18">
        <f t="shared" si="2"/>
        <v>5</v>
      </c>
      <c r="P18">
        <f t="shared" si="3"/>
        <v>8.9</v>
      </c>
      <c r="Q18" t="str">
        <f t="shared" si="4"/>
        <v>5' 8.9"</v>
      </c>
      <c r="R18">
        <f t="shared" si="5"/>
        <v>315</v>
      </c>
      <c r="S18">
        <f t="shared" si="6"/>
        <v>35</v>
      </c>
      <c r="T18">
        <f t="shared" si="6"/>
        <v>30</v>
      </c>
      <c r="U18">
        <f t="shared" si="6"/>
        <v>21</v>
      </c>
      <c r="V18">
        <f>_xlfn.XLOOKUP(A18,'January 2023 Data'!$A$4:$A$49,'January 2023 Data'!$H$4:$H$49,,0)</f>
        <v>175</v>
      </c>
      <c r="W18">
        <f t="shared" si="7"/>
        <v>0</v>
      </c>
      <c r="X18" s="22" t="s">
        <v>224</v>
      </c>
      <c r="Y18" t="str">
        <f t="shared" si="8"/>
        <v>Ura, 4-9</v>
      </c>
    </row>
    <row r="19" spans="1:25">
      <c r="A19" s="1" t="s">
        <v>231</v>
      </c>
      <c r="G19" t="s">
        <v>151</v>
      </c>
      <c r="H19" t="s">
        <v>139</v>
      </c>
      <c r="I19" s="1">
        <f>_xlfn.XLOOKUP(H19,'rank lookup'!$A$1:$A$21,'rank lookup'!$B$1:$B$21,,0)</f>
        <v>8</v>
      </c>
      <c r="K19" s="23">
        <v>189</v>
      </c>
      <c r="L19" s="23">
        <v>168</v>
      </c>
      <c r="M19" s="5">
        <f t="shared" si="0"/>
        <v>47.031158142269256</v>
      </c>
      <c r="N19" s="4">
        <f t="shared" si="1"/>
        <v>74.409448818897644</v>
      </c>
      <c r="O19">
        <f t="shared" si="2"/>
        <v>6</v>
      </c>
      <c r="P19">
        <f t="shared" si="3"/>
        <v>2.4</v>
      </c>
      <c r="Q19" t="str">
        <f t="shared" si="4"/>
        <v>6' 2.4"</v>
      </c>
      <c r="R19">
        <f t="shared" si="5"/>
        <v>370</v>
      </c>
      <c r="S19">
        <f t="shared" si="6"/>
        <v>7</v>
      </c>
      <c r="T19">
        <f t="shared" si="6"/>
        <v>16</v>
      </c>
      <c r="U19">
        <f t="shared" si="6"/>
        <v>20</v>
      </c>
      <c r="V19" t="e">
        <f>_xlfn.XLOOKUP(A19,'January 2023 Data'!$A$4:$A$49,'January 2023 Data'!$H$4:$H$49,,0)</f>
        <v>#N/A</v>
      </c>
      <c r="W19" t="e">
        <f t="shared" si="7"/>
        <v>#N/A</v>
      </c>
      <c r="X19" s="22" t="s">
        <v>224</v>
      </c>
      <c r="Y19" t="str">
        <f t="shared" si="8"/>
        <v>Asanoyama, 4-9</v>
      </c>
    </row>
    <row r="20" spans="1:25">
      <c r="A20" s="1" t="s">
        <v>120</v>
      </c>
      <c r="B20" s="1"/>
      <c r="C20" s="1" t="s">
        <v>135</v>
      </c>
      <c r="D20" s="1" t="s">
        <v>147</v>
      </c>
      <c r="E20" s="1" t="s">
        <v>142</v>
      </c>
      <c r="F20" s="1" t="s">
        <v>139</v>
      </c>
      <c r="G20" s="1" t="s">
        <v>143</v>
      </c>
      <c r="H20" s="1" t="s">
        <v>140</v>
      </c>
      <c r="I20" s="1">
        <f>_xlfn.XLOOKUP(H20,'rank lookup'!$A$1:$A$21,'rank lookup'!$B$1:$B$21,,0)</f>
        <v>9</v>
      </c>
      <c r="J20" s="1"/>
      <c r="K20" s="23">
        <v>177</v>
      </c>
      <c r="L20" s="23">
        <v>165</v>
      </c>
      <c r="M20" s="5">
        <f t="shared" si="0"/>
        <v>52.666858182514609</v>
      </c>
      <c r="N20" s="4">
        <f t="shared" si="1"/>
        <v>69.685039370078741</v>
      </c>
      <c r="O20">
        <f t="shared" si="2"/>
        <v>5</v>
      </c>
      <c r="P20">
        <f t="shared" si="3"/>
        <v>9.6999999999999993</v>
      </c>
      <c r="Q20" t="str">
        <f t="shared" si="4"/>
        <v>5' 9.7"</v>
      </c>
      <c r="R20">
        <f t="shared" si="5"/>
        <v>364</v>
      </c>
      <c r="S20">
        <f t="shared" si="6"/>
        <v>32</v>
      </c>
      <c r="T20">
        <f t="shared" si="6"/>
        <v>17</v>
      </c>
      <c r="U20">
        <f t="shared" si="6"/>
        <v>6</v>
      </c>
      <c r="V20">
        <f>_xlfn.XLOOKUP(A20,'January 2023 Data'!$A$4:$A$49,'January 2023 Data'!$H$4:$H$49,,0)</f>
        <v>178</v>
      </c>
      <c r="W20">
        <f t="shared" si="7"/>
        <v>-1</v>
      </c>
      <c r="X20" t="s">
        <v>218</v>
      </c>
      <c r="Y20" t="str">
        <f t="shared" si="8"/>
        <v>Onosho, OUT</v>
      </c>
    </row>
    <row r="21" spans="1:25">
      <c r="A21" t="s">
        <v>155</v>
      </c>
      <c r="C21" s="1" t="s">
        <v>154</v>
      </c>
      <c r="D21" s="1" t="s">
        <v>154</v>
      </c>
      <c r="E21" s="1" t="s">
        <v>145</v>
      </c>
      <c r="F21" s="1" t="s">
        <v>143</v>
      </c>
      <c r="G21" s="1" t="s">
        <v>143</v>
      </c>
      <c r="H21" s="1" t="s">
        <v>140</v>
      </c>
      <c r="I21" s="1">
        <f>_xlfn.XLOOKUP(H21,'rank lookup'!$A$1:$A$21,'rank lookup'!$B$1:$B$21,,0)</f>
        <v>9</v>
      </c>
      <c r="J21" s="1"/>
      <c r="K21" s="23">
        <v>177</v>
      </c>
      <c r="L21" s="23">
        <v>135</v>
      </c>
      <c r="M21" s="5">
        <f t="shared" si="0"/>
        <v>43.091065785693765</v>
      </c>
      <c r="N21" s="4">
        <f t="shared" si="1"/>
        <v>69.685039370078741</v>
      </c>
      <c r="O21">
        <f t="shared" si="2"/>
        <v>5</v>
      </c>
      <c r="P21">
        <f t="shared" si="3"/>
        <v>9.6999999999999993</v>
      </c>
      <c r="Q21" t="str">
        <f t="shared" si="4"/>
        <v>5' 9.7"</v>
      </c>
      <c r="R21">
        <f t="shared" si="5"/>
        <v>298</v>
      </c>
      <c r="S21">
        <f t="shared" si="6"/>
        <v>32</v>
      </c>
      <c r="T21">
        <f t="shared" si="6"/>
        <v>35</v>
      </c>
      <c r="U21">
        <f t="shared" si="6"/>
        <v>31</v>
      </c>
      <c r="V21">
        <f>_xlfn.XLOOKUP(A21,'January 2023 Data'!$A$4:$A$49,'January 2023 Data'!$H$4:$H$49,,0)</f>
        <v>178</v>
      </c>
      <c r="W21">
        <f t="shared" si="7"/>
        <v>-1</v>
      </c>
      <c r="X21" s="22" t="s">
        <v>222</v>
      </c>
      <c r="Y21" t="str">
        <f t="shared" si="8"/>
        <v>Hiradoumi, 10-3</v>
      </c>
    </row>
    <row r="22" spans="1:25">
      <c r="A22" s="1" t="s">
        <v>191</v>
      </c>
      <c r="F22" t="s">
        <v>152</v>
      </c>
      <c r="G22" t="s">
        <v>147</v>
      </c>
      <c r="H22" t="s">
        <v>141</v>
      </c>
      <c r="I22" s="1">
        <f>_xlfn.XLOOKUP(H22,'rank lookup'!$A$1:$A$21,'rank lookup'!$B$1:$B$21,,0)</f>
        <v>10</v>
      </c>
      <c r="J22" s="1"/>
      <c r="K22" s="23">
        <v>204</v>
      </c>
      <c r="L22" s="23">
        <v>185</v>
      </c>
      <c r="M22" s="5">
        <f t="shared" si="0"/>
        <v>44.454056132256824</v>
      </c>
      <c r="N22" s="4">
        <f t="shared" si="1"/>
        <v>80.314960629921259</v>
      </c>
      <c r="O22">
        <f t="shared" si="2"/>
        <v>6</v>
      </c>
      <c r="P22">
        <f t="shared" si="3"/>
        <v>8.3000000000000007</v>
      </c>
      <c r="Q22" t="str">
        <f t="shared" si="4"/>
        <v>6' 8.3"</v>
      </c>
      <c r="R22">
        <f t="shared" si="5"/>
        <v>408</v>
      </c>
      <c r="S22">
        <f t="shared" si="6"/>
        <v>1</v>
      </c>
      <c r="T22">
        <f t="shared" si="6"/>
        <v>4</v>
      </c>
      <c r="U22">
        <f t="shared" si="6"/>
        <v>25</v>
      </c>
      <c r="V22" t="e">
        <f>_xlfn.XLOOKUP(A22,'January 2023 Data'!$A$4:$A$49,'January 2023 Data'!$H$4:$H$49,,0)</f>
        <v>#N/A</v>
      </c>
      <c r="W22" t="e">
        <f t="shared" si="7"/>
        <v>#N/A</v>
      </c>
      <c r="X22" s="22" t="s">
        <v>228</v>
      </c>
      <c r="Y22" t="str">
        <f t="shared" si="8"/>
        <v>Hokuseiho, 5-8</v>
      </c>
    </row>
    <row r="23" spans="1:25">
      <c r="A23" s="1" t="s">
        <v>88</v>
      </c>
      <c r="B23" s="1"/>
      <c r="C23" s="1" t="s">
        <v>150</v>
      </c>
      <c r="D23" s="1" t="s">
        <v>150</v>
      </c>
      <c r="E23" s="1" t="s">
        <v>142</v>
      </c>
      <c r="F23" s="1" t="s">
        <v>152</v>
      </c>
      <c r="G23" s="1" t="s">
        <v>154</v>
      </c>
      <c r="H23" s="1" t="s">
        <v>141</v>
      </c>
      <c r="I23" s="1">
        <f>_xlfn.XLOOKUP(H23,'rank lookup'!$A$1:$A$21,'rank lookup'!$B$1:$B$21,,0)</f>
        <v>10</v>
      </c>
      <c r="J23" s="1"/>
      <c r="K23" s="23">
        <v>190</v>
      </c>
      <c r="L23" s="23">
        <v>179</v>
      </c>
      <c r="M23" s="5">
        <f t="shared" si="0"/>
        <v>49.584487534626035</v>
      </c>
      <c r="N23" s="4">
        <f t="shared" si="1"/>
        <v>74.803149606299215</v>
      </c>
      <c r="O23">
        <f t="shared" si="2"/>
        <v>6</v>
      </c>
      <c r="P23">
        <f t="shared" si="3"/>
        <v>2.8</v>
      </c>
      <c r="Q23" t="str">
        <f t="shared" si="4"/>
        <v>6' 2.8"</v>
      </c>
      <c r="R23">
        <f t="shared" si="5"/>
        <v>395</v>
      </c>
      <c r="S23">
        <f t="shared" si="6"/>
        <v>6</v>
      </c>
      <c r="T23">
        <f t="shared" si="6"/>
        <v>8</v>
      </c>
      <c r="U23">
        <f t="shared" si="6"/>
        <v>11</v>
      </c>
      <c r="V23">
        <f>_xlfn.XLOOKUP(A23,'January 2023 Data'!$A$4:$A$49,'January 2023 Data'!$H$4:$H$49,,0)</f>
        <v>189</v>
      </c>
      <c r="W23">
        <f t="shared" si="7"/>
        <v>1</v>
      </c>
      <c r="X23" s="22" t="s">
        <v>228</v>
      </c>
      <c r="Y23" t="str">
        <f t="shared" si="8"/>
        <v>Oho, 5-8</v>
      </c>
    </row>
    <row r="24" spans="1:25">
      <c r="A24" s="1" t="s">
        <v>96</v>
      </c>
      <c r="B24" s="1"/>
      <c r="C24" s="1" t="s">
        <v>139</v>
      </c>
      <c r="D24" s="1" t="s">
        <v>132</v>
      </c>
      <c r="E24" s="1" t="s">
        <v>31</v>
      </c>
      <c r="F24" s="1" t="s">
        <v>135</v>
      </c>
      <c r="G24" s="1" t="s">
        <v>136</v>
      </c>
      <c r="H24" s="1" t="s">
        <v>135</v>
      </c>
      <c r="I24" s="1">
        <f>_xlfn.XLOOKUP(H24,'rank lookup'!$A$1:$A$21,'rank lookup'!$B$1:$B$21,,0)</f>
        <v>11</v>
      </c>
      <c r="J24" s="1"/>
      <c r="K24" s="23">
        <v>188</v>
      </c>
      <c r="L24" s="23">
        <v>183</v>
      </c>
      <c r="M24" s="5">
        <f t="shared" si="0"/>
        <v>51.776822091444096</v>
      </c>
      <c r="N24" s="4">
        <f t="shared" si="1"/>
        <v>74.015748031496059</v>
      </c>
      <c r="O24">
        <f t="shared" si="2"/>
        <v>6</v>
      </c>
      <c r="P24">
        <f t="shared" si="3"/>
        <v>2</v>
      </c>
      <c r="Q24" t="str">
        <f t="shared" si="4"/>
        <v>6' 2"</v>
      </c>
      <c r="R24">
        <f t="shared" si="5"/>
        <v>403</v>
      </c>
      <c r="S24">
        <f t="shared" si="6"/>
        <v>10</v>
      </c>
      <c r="T24">
        <f t="shared" si="6"/>
        <v>5</v>
      </c>
      <c r="U24">
        <f t="shared" si="6"/>
        <v>8</v>
      </c>
      <c r="V24">
        <f>_xlfn.XLOOKUP(A24,'January 2023 Data'!$A$4:$A$49,'January 2023 Data'!$H$4:$H$49,,0)</f>
        <v>186</v>
      </c>
      <c r="W24">
        <f t="shared" si="7"/>
        <v>2</v>
      </c>
      <c r="X24" s="22" t="s">
        <v>225</v>
      </c>
      <c r="Y24" t="str">
        <f t="shared" si="8"/>
        <v>Takayasu, 8-5</v>
      </c>
    </row>
    <row r="25" spans="1:25">
      <c r="A25" s="1" t="s">
        <v>92</v>
      </c>
      <c r="B25" s="1">
        <v>2</v>
      </c>
      <c r="C25" s="1" t="s">
        <v>137</v>
      </c>
      <c r="D25" s="1" t="s">
        <v>42</v>
      </c>
      <c r="E25" s="1" t="s">
        <v>136</v>
      </c>
      <c r="F25" s="1" t="s">
        <v>132</v>
      </c>
      <c r="G25" s="1" t="s">
        <v>135</v>
      </c>
      <c r="H25" s="1" t="s">
        <v>135</v>
      </c>
      <c r="I25" s="1">
        <f>_xlfn.XLOOKUP(H25,'rank lookup'!$A$1:$A$21,'rank lookup'!$B$1:$B$21,,0)</f>
        <v>11</v>
      </c>
      <c r="J25" s="1"/>
      <c r="K25" s="23">
        <v>189</v>
      </c>
      <c r="L25" s="23">
        <v>174</v>
      </c>
      <c r="M25" s="5">
        <f t="shared" si="0"/>
        <v>48.710842361636011</v>
      </c>
      <c r="N25" s="4">
        <f t="shared" si="1"/>
        <v>74.409448818897644</v>
      </c>
      <c r="O25">
        <f t="shared" si="2"/>
        <v>6</v>
      </c>
      <c r="P25">
        <f t="shared" si="3"/>
        <v>2.4</v>
      </c>
      <c r="Q25" t="str">
        <f t="shared" si="4"/>
        <v>6' 2.4"</v>
      </c>
      <c r="R25">
        <f t="shared" si="5"/>
        <v>384</v>
      </c>
      <c r="S25">
        <f t="shared" si="6"/>
        <v>7</v>
      </c>
      <c r="T25">
        <f t="shared" si="6"/>
        <v>10</v>
      </c>
      <c r="U25">
        <f t="shared" si="6"/>
        <v>16</v>
      </c>
      <c r="V25">
        <f>_xlfn.XLOOKUP(A25,'January 2023 Data'!$A$4:$A$49,'January 2023 Data'!$H$4:$H$49,,0)</f>
        <v>189</v>
      </c>
      <c r="W25">
        <f t="shared" si="7"/>
        <v>0</v>
      </c>
      <c r="X25" s="22" t="s">
        <v>225</v>
      </c>
      <c r="Y25" t="str">
        <f t="shared" si="8"/>
        <v>Tamawashi, 8-5</v>
      </c>
    </row>
    <row r="26" spans="1:25">
      <c r="A26" t="s">
        <v>144</v>
      </c>
      <c r="C26" s="1" t="s">
        <v>145</v>
      </c>
      <c r="D26" s="1" t="s">
        <v>140</v>
      </c>
      <c r="E26" s="1" t="s">
        <v>139</v>
      </c>
      <c r="F26" s="1" t="s">
        <v>145</v>
      </c>
      <c r="G26" s="1" t="s">
        <v>137</v>
      </c>
      <c r="H26" s="1" t="s">
        <v>142</v>
      </c>
      <c r="I26" s="1">
        <f>_xlfn.XLOOKUP(H26,'rank lookup'!$A$1:$A$21,'rank lookup'!$B$1:$B$21,,0)</f>
        <v>12</v>
      </c>
      <c r="J26" s="1"/>
      <c r="K26" s="23">
        <v>184</v>
      </c>
      <c r="L26" s="23">
        <v>149</v>
      </c>
      <c r="M26" s="5">
        <f t="shared" si="0"/>
        <v>44.009924385633276</v>
      </c>
      <c r="N26" s="4">
        <f t="shared" si="1"/>
        <v>72.440944881889763</v>
      </c>
      <c r="O26">
        <f t="shared" si="2"/>
        <v>6</v>
      </c>
      <c r="P26">
        <f t="shared" si="3"/>
        <v>0.4</v>
      </c>
      <c r="Q26" t="str">
        <f t="shared" si="4"/>
        <v>6' 0.4"</v>
      </c>
      <c r="R26">
        <f t="shared" si="5"/>
        <v>328</v>
      </c>
      <c r="S26">
        <f t="shared" si="6"/>
        <v>21</v>
      </c>
      <c r="T26">
        <f t="shared" si="6"/>
        <v>28</v>
      </c>
      <c r="U26">
        <f t="shared" si="6"/>
        <v>29</v>
      </c>
      <c r="V26">
        <f>_xlfn.XLOOKUP(A26,'January 2023 Data'!$A$4:$A$49,'January 2023 Data'!$H$4:$H$49,,0)</f>
        <v>184</v>
      </c>
      <c r="W26">
        <f t="shared" si="7"/>
        <v>0</v>
      </c>
      <c r="X26" s="22" t="s">
        <v>220</v>
      </c>
      <c r="Y26" t="str">
        <f t="shared" si="8"/>
        <v>Nishikifuji, 7-6</v>
      </c>
    </row>
    <row r="27" spans="1:25">
      <c r="A27" s="1" t="s">
        <v>111</v>
      </c>
      <c r="B27" s="1"/>
      <c r="C27" s="1" t="s">
        <v>140</v>
      </c>
      <c r="D27" s="1" t="s">
        <v>139</v>
      </c>
      <c r="E27" s="1" t="s">
        <v>139</v>
      </c>
      <c r="F27" s="1" t="s">
        <v>141</v>
      </c>
      <c r="G27" s="1" t="s">
        <v>142</v>
      </c>
      <c r="H27" s="1" t="s">
        <v>142</v>
      </c>
      <c r="I27" s="1">
        <f>_xlfn.XLOOKUP(H27,'rank lookup'!$A$1:$A$21,'rank lookup'!$B$1:$B$21,,0)</f>
        <v>12</v>
      </c>
      <c r="J27" s="1"/>
      <c r="K27" s="23">
        <v>182</v>
      </c>
      <c r="L27" s="23">
        <v>142</v>
      </c>
      <c r="M27" s="5">
        <f t="shared" si="0"/>
        <v>42.869218693394522</v>
      </c>
      <c r="N27" s="4">
        <f t="shared" si="1"/>
        <v>71.653543307086608</v>
      </c>
      <c r="O27">
        <f t="shared" si="2"/>
        <v>5</v>
      </c>
      <c r="P27">
        <f t="shared" si="3"/>
        <v>11.7</v>
      </c>
      <c r="Q27" t="str">
        <f t="shared" si="4"/>
        <v>5' 11.7"</v>
      </c>
      <c r="R27">
        <f t="shared" si="5"/>
        <v>313</v>
      </c>
      <c r="S27">
        <f t="shared" si="6"/>
        <v>27</v>
      </c>
      <c r="T27">
        <f t="shared" si="6"/>
        <v>32</v>
      </c>
      <c r="U27">
        <f t="shared" si="6"/>
        <v>33</v>
      </c>
      <c r="V27">
        <f>_xlfn.XLOOKUP(A27,'January 2023 Data'!$A$4:$A$49,'January 2023 Data'!$H$4:$H$49,,0)</f>
        <v>182</v>
      </c>
      <c r="W27">
        <f t="shared" si="7"/>
        <v>0</v>
      </c>
      <c r="X27" s="22" t="s">
        <v>220</v>
      </c>
      <c r="Y27" t="str">
        <f t="shared" si="8"/>
        <v>Sadanoumi, 7-6</v>
      </c>
    </row>
    <row r="28" spans="1:25">
      <c r="A28" s="1" t="s">
        <v>103</v>
      </c>
      <c r="B28" s="1"/>
      <c r="C28" s="1" t="s">
        <v>142</v>
      </c>
      <c r="D28" s="1" t="s">
        <v>140</v>
      </c>
      <c r="E28" s="1" t="s">
        <v>141</v>
      </c>
      <c r="F28" s="1" t="s">
        <v>135</v>
      </c>
      <c r="G28" s="1" t="s">
        <v>135</v>
      </c>
      <c r="H28" s="1" t="s">
        <v>143</v>
      </c>
      <c r="I28" s="1">
        <f>_xlfn.XLOOKUP(H28,'rank lookup'!$A$1:$A$21,'rank lookup'!$B$1:$B$21,,0)</f>
        <v>13</v>
      </c>
      <c r="J28" s="1"/>
      <c r="K28" s="23">
        <v>184</v>
      </c>
      <c r="L28" s="23">
        <v>158</v>
      </c>
      <c r="M28" s="5">
        <f t="shared" si="0"/>
        <v>46.668241965973536</v>
      </c>
      <c r="N28" s="4">
        <f t="shared" si="1"/>
        <v>72.440944881889763</v>
      </c>
      <c r="O28">
        <f t="shared" si="2"/>
        <v>6</v>
      </c>
      <c r="P28">
        <f t="shared" si="3"/>
        <v>0.4</v>
      </c>
      <c r="Q28" t="str">
        <f t="shared" si="4"/>
        <v>6' 0.4"</v>
      </c>
      <c r="R28">
        <f t="shared" si="5"/>
        <v>348</v>
      </c>
      <c r="S28">
        <f t="shared" si="6"/>
        <v>21</v>
      </c>
      <c r="T28">
        <f t="shared" si="6"/>
        <v>22</v>
      </c>
      <c r="U28">
        <f t="shared" si="6"/>
        <v>22</v>
      </c>
      <c r="V28">
        <f>_xlfn.XLOOKUP(A28,'January 2023 Data'!$A$4:$A$49,'January 2023 Data'!$H$4:$H$49,,0)</f>
        <v>184</v>
      </c>
      <c r="W28">
        <f t="shared" si="7"/>
        <v>0</v>
      </c>
      <c r="X28" s="22" t="s">
        <v>224</v>
      </c>
      <c r="Y28" t="str">
        <f t="shared" si="8"/>
        <v>Hokutofuji, 4-9</v>
      </c>
    </row>
    <row r="29" spans="1:25">
      <c r="A29" s="1" t="s">
        <v>101</v>
      </c>
      <c r="B29" s="1"/>
      <c r="C29" s="1" t="s">
        <v>145</v>
      </c>
      <c r="D29" s="1" t="s">
        <v>143</v>
      </c>
      <c r="E29" s="1" t="s">
        <v>143</v>
      </c>
      <c r="F29" s="1" t="s">
        <v>147</v>
      </c>
      <c r="G29" s="1" t="s">
        <v>142</v>
      </c>
      <c r="H29" s="1" t="s">
        <v>143</v>
      </c>
      <c r="I29" s="1">
        <f>_xlfn.XLOOKUP(H29,'rank lookup'!$A$1:$A$21,'rank lookup'!$B$1:$B$21,,0)</f>
        <v>13</v>
      </c>
      <c r="J29" s="1"/>
      <c r="K29" s="23">
        <v>183</v>
      </c>
      <c r="L29" s="23">
        <v>170</v>
      </c>
      <c r="M29" s="5">
        <f t="shared" si="0"/>
        <v>50.762937083818564</v>
      </c>
      <c r="N29" s="4">
        <f t="shared" si="1"/>
        <v>72.047244094488192</v>
      </c>
      <c r="O29">
        <f t="shared" si="2"/>
        <v>6</v>
      </c>
      <c r="P29">
        <f t="shared" si="3"/>
        <v>0</v>
      </c>
      <c r="Q29" t="str">
        <f t="shared" si="4"/>
        <v>6' 0"</v>
      </c>
      <c r="R29">
        <f t="shared" si="5"/>
        <v>375</v>
      </c>
      <c r="S29">
        <f t="shared" si="6"/>
        <v>26</v>
      </c>
      <c r="T29">
        <f t="shared" si="6"/>
        <v>14</v>
      </c>
      <c r="U29">
        <f t="shared" si="6"/>
        <v>10</v>
      </c>
      <c r="V29">
        <f>_xlfn.XLOOKUP(A29,'January 2023 Data'!$A$4:$A$49,'January 2023 Data'!$H$4:$H$49,,0)</f>
        <v>184</v>
      </c>
      <c r="W29">
        <f t="shared" si="7"/>
        <v>-1</v>
      </c>
      <c r="X29" s="22" t="s">
        <v>228</v>
      </c>
      <c r="Y29" t="str">
        <f t="shared" si="8"/>
        <v>Takanosho, 5-8</v>
      </c>
    </row>
    <row r="30" spans="1:25">
      <c r="A30" s="1" t="s">
        <v>189</v>
      </c>
      <c r="F30" t="s">
        <v>151</v>
      </c>
      <c r="G30" t="s">
        <v>140</v>
      </c>
      <c r="H30" s="1" t="s">
        <v>145</v>
      </c>
      <c r="I30" s="1">
        <f>_xlfn.XLOOKUP(H30,'rank lookup'!$A$1:$A$21,'rank lookup'!$B$1:$B$21,,0)</f>
        <v>14</v>
      </c>
      <c r="J30" s="1"/>
      <c r="K30" s="23">
        <v>192</v>
      </c>
      <c r="L30" s="23">
        <v>181</v>
      </c>
      <c r="M30" s="5">
        <f t="shared" si="0"/>
        <v>49.099392361111107</v>
      </c>
      <c r="N30" s="4">
        <f t="shared" si="1"/>
        <v>75.59055118110237</v>
      </c>
      <c r="O30">
        <f t="shared" si="2"/>
        <v>6</v>
      </c>
      <c r="P30">
        <f t="shared" si="3"/>
        <v>3.6</v>
      </c>
      <c r="Q30" t="str">
        <f t="shared" si="4"/>
        <v>6' 3.6"</v>
      </c>
      <c r="R30">
        <f t="shared" si="5"/>
        <v>399</v>
      </c>
      <c r="S30">
        <f t="shared" si="6"/>
        <v>2</v>
      </c>
      <c r="T30">
        <f t="shared" si="6"/>
        <v>6</v>
      </c>
      <c r="U30">
        <f t="shared" si="6"/>
        <v>15</v>
      </c>
      <c r="V30" t="e">
        <f>_xlfn.XLOOKUP(A30,'January 2023 Data'!$A$4:$A$49,'January 2023 Data'!$H$4:$H$49,,0)</f>
        <v>#N/A</v>
      </c>
      <c r="W30" t="e">
        <f t="shared" si="7"/>
        <v>#N/A</v>
      </c>
      <c r="X30" s="22" t="s">
        <v>229</v>
      </c>
      <c r="Y30" t="str">
        <f t="shared" si="8"/>
        <v>Kinbozan, 6-7</v>
      </c>
    </row>
    <row r="31" spans="1:25">
      <c r="A31" s="1" t="s">
        <v>97</v>
      </c>
      <c r="B31" s="1"/>
      <c r="C31" s="1" t="s">
        <v>143</v>
      </c>
      <c r="D31" s="1" t="s">
        <v>135</v>
      </c>
      <c r="E31" s="1" t="s">
        <v>141</v>
      </c>
      <c r="F31" s="1" t="s">
        <v>145</v>
      </c>
      <c r="G31" s="1" t="s">
        <v>151</v>
      </c>
      <c r="H31" s="1" t="s">
        <v>145</v>
      </c>
      <c r="I31" s="1">
        <f>_xlfn.XLOOKUP(H31,'rank lookup'!$A$1:$A$21,'rank lookup'!$B$1:$B$21,,0)</f>
        <v>14</v>
      </c>
      <c r="J31" s="1"/>
      <c r="K31" s="23">
        <v>188</v>
      </c>
      <c r="L31" s="23">
        <v>156</v>
      </c>
      <c r="M31" s="5">
        <f t="shared" si="0"/>
        <v>44.137618832050705</v>
      </c>
      <c r="N31" s="4">
        <f t="shared" si="1"/>
        <v>74.015748031496059</v>
      </c>
      <c r="O31">
        <f t="shared" si="2"/>
        <v>6</v>
      </c>
      <c r="P31">
        <f t="shared" si="3"/>
        <v>2</v>
      </c>
      <c r="Q31" t="str">
        <f t="shared" si="4"/>
        <v>6' 2"</v>
      </c>
      <c r="R31">
        <f t="shared" si="5"/>
        <v>344</v>
      </c>
      <c r="S31">
        <f t="shared" si="6"/>
        <v>10</v>
      </c>
      <c r="T31">
        <f t="shared" si="6"/>
        <v>24</v>
      </c>
      <c r="U31">
        <f t="shared" si="6"/>
        <v>27</v>
      </c>
      <c r="V31">
        <f>_xlfn.XLOOKUP(A31,'January 2023 Data'!$A$4:$A$49,'January 2023 Data'!$H$4:$H$49,,0)</f>
        <v>189</v>
      </c>
      <c r="W31">
        <f t="shared" si="7"/>
        <v>-1</v>
      </c>
      <c r="X31" s="22" t="s">
        <v>225</v>
      </c>
      <c r="Y31" t="str">
        <f t="shared" si="8"/>
        <v>Myogiryu, 8-5</v>
      </c>
    </row>
    <row r="32" spans="1:25">
      <c r="A32" s="1" t="s">
        <v>122</v>
      </c>
      <c r="B32" s="1"/>
      <c r="C32" s="1" t="s">
        <v>143</v>
      </c>
      <c r="D32" s="1" t="s">
        <v>148</v>
      </c>
      <c r="E32" s="1" t="s">
        <v>150</v>
      </c>
      <c r="F32" s="1" t="s">
        <v>150</v>
      </c>
      <c r="G32" s="1" t="s">
        <v>148</v>
      </c>
      <c r="H32" s="1" t="s">
        <v>147</v>
      </c>
      <c r="I32" s="1">
        <f>_xlfn.XLOOKUP(H32,'rank lookup'!$A$1:$A$21,'rank lookup'!$B$1:$B$21,,0)</f>
        <v>15</v>
      </c>
      <c r="J32" s="1"/>
      <c r="K32" s="23">
        <v>176</v>
      </c>
      <c r="L32" s="23">
        <v>133</v>
      </c>
      <c r="M32" s="5">
        <f t="shared" si="0"/>
        <v>42.936466942148755</v>
      </c>
      <c r="N32" s="4">
        <f t="shared" si="1"/>
        <v>69.29133858267717</v>
      </c>
      <c r="O32">
        <f t="shared" si="2"/>
        <v>5</v>
      </c>
      <c r="P32">
        <f t="shared" si="3"/>
        <v>9.3000000000000007</v>
      </c>
      <c r="Q32" t="str">
        <f t="shared" si="4"/>
        <v>5' 9.3"</v>
      </c>
      <c r="R32">
        <f t="shared" si="5"/>
        <v>293</v>
      </c>
      <c r="S32">
        <f t="shared" si="6"/>
        <v>34</v>
      </c>
      <c r="T32">
        <f t="shared" si="6"/>
        <v>37</v>
      </c>
      <c r="U32">
        <f t="shared" si="6"/>
        <v>32</v>
      </c>
      <c r="V32">
        <f>_xlfn.XLOOKUP(A32,'January 2023 Data'!$A$4:$A$49,'January 2023 Data'!$H$4:$H$49,,0)</f>
        <v>176</v>
      </c>
      <c r="W32">
        <f t="shared" si="7"/>
        <v>0</v>
      </c>
      <c r="X32" s="22" t="s">
        <v>228</v>
      </c>
      <c r="Y32" t="str">
        <f t="shared" si="8"/>
        <v>Kotoeko, 5-8</v>
      </c>
    </row>
    <row r="33" spans="1:25">
      <c r="A33" s="1" t="s">
        <v>108</v>
      </c>
      <c r="B33" s="1"/>
      <c r="C33" s="1" t="s">
        <v>152</v>
      </c>
      <c r="D33" s="1" t="s">
        <v>170</v>
      </c>
      <c r="E33" s="1" t="s">
        <v>152</v>
      </c>
      <c r="F33" s="1" t="s">
        <v>154</v>
      </c>
      <c r="G33" s="1" t="s">
        <v>152</v>
      </c>
      <c r="H33" s="1" t="s">
        <v>147</v>
      </c>
      <c r="I33" s="1">
        <f>_xlfn.XLOOKUP(H33,'rank lookup'!$A$1:$A$21,'rank lookup'!$B$1:$B$21,,0)</f>
        <v>15</v>
      </c>
      <c r="J33" s="1"/>
      <c r="K33" s="23">
        <v>185</v>
      </c>
      <c r="L33" s="23">
        <v>194</v>
      </c>
      <c r="M33" s="5">
        <f t="shared" si="0"/>
        <v>56.683710737764791</v>
      </c>
      <c r="N33" s="4">
        <f t="shared" si="1"/>
        <v>72.834645669291348</v>
      </c>
      <c r="O33">
        <f t="shared" si="2"/>
        <v>6</v>
      </c>
      <c r="P33">
        <f t="shared" si="3"/>
        <v>0.8</v>
      </c>
      <c r="Q33" t="str">
        <f t="shared" si="4"/>
        <v>6' 0.8"</v>
      </c>
      <c r="R33">
        <f t="shared" si="5"/>
        <v>428</v>
      </c>
      <c r="S33">
        <f t="shared" si="6"/>
        <v>18</v>
      </c>
      <c r="T33">
        <f t="shared" si="6"/>
        <v>2</v>
      </c>
      <c r="U33">
        <f t="shared" si="6"/>
        <v>3</v>
      </c>
      <c r="V33">
        <f>_xlfn.XLOOKUP(A33,'January 2023 Data'!$A$4:$A$49,'January 2023 Data'!$H$4:$H$49,,0)</f>
        <v>184</v>
      </c>
      <c r="W33">
        <f t="shared" si="7"/>
        <v>1</v>
      </c>
      <c r="X33" s="22" t="s">
        <v>220</v>
      </c>
      <c r="Y33" t="str">
        <f t="shared" si="8"/>
        <v>Tsurugisho, 7-6</v>
      </c>
    </row>
    <row r="34" spans="1:25">
      <c r="A34" s="1" t="s">
        <v>114</v>
      </c>
      <c r="B34" s="1"/>
      <c r="C34" s="1" t="s">
        <v>31</v>
      </c>
      <c r="D34" s="1" t="s">
        <v>31</v>
      </c>
      <c r="E34" s="1" t="s">
        <v>31</v>
      </c>
      <c r="F34" s="1" t="s">
        <v>31</v>
      </c>
      <c r="G34" s="1" t="s">
        <v>42</v>
      </c>
      <c r="H34" s="1" t="s">
        <v>148</v>
      </c>
      <c r="I34" s="1">
        <f>_xlfn.XLOOKUP(H34,'rank lookup'!$A$1:$A$21,'rank lookup'!$B$1:$B$21,,0)</f>
        <v>16</v>
      </c>
      <c r="J34" s="1"/>
      <c r="K34" s="23">
        <v>182</v>
      </c>
      <c r="L34" s="23">
        <v>132</v>
      </c>
      <c r="M34" s="5">
        <f t="shared" si="0"/>
        <v>39.850259630479414</v>
      </c>
      <c r="N34" s="4">
        <f t="shared" si="1"/>
        <v>71.653543307086608</v>
      </c>
      <c r="O34">
        <f t="shared" si="2"/>
        <v>5</v>
      </c>
      <c r="P34">
        <f t="shared" si="3"/>
        <v>11.7</v>
      </c>
      <c r="Q34" t="str">
        <f t="shared" si="4"/>
        <v>5' 11.7"</v>
      </c>
      <c r="R34">
        <f t="shared" si="5"/>
        <v>291</v>
      </c>
      <c r="S34">
        <f t="shared" si="6"/>
        <v>27</v>
      </c>
      <c r="T34">
        <f t="shared" si="6"/>
        <v>38</v>
      </c>
      <c r="U34">
        <f t="shared" si="6"/>
        <v>38</v>
      </c>
      <c r="V34">
        <f>_xlfn.XLOOKUP(A34,'January 2023 Data'!$A$4:$A$49,'January 2023 Data'!$H$4:$H$49,,0)</f>
        <v>183</v>
      </c>
      <c r="W34">
        <f t="shared" si="7"/>
        <v>-1</v>
      </c>
      <c r="X34" s="22" t="s">
        <v>226</v>
      </c>
      <c r="Y34" t="str">
        <f t="shared" si="8"/>
        <v>Wakatakakage, 3-10</v>
      </c>
    </row>
    <row r="35" spans="1:25">
      <c r="A35" s="1" t="s">
        <v>110</v>
      </c>
      <c r="B35" s="1"/>
      <c r="C35" s="1" t="s">
        <v>151</v>
      </c>
      <c r="D35" s="1" t="s">
        <v>145</v>
      </c>
      <c r="E35" s="1" t="s">
        <v>147</v>
      </c>
      <c r="F35" s="1" t="s">
        <v>154</v>
      </c>
      <c r="G35" s="1" t="s">
        <v>150</v>
      </c>
      <c r="H35" s="1" t="s">
        <v>148</v>
      </c>
      <c r="I35" s="1">
        <f>_xlfn.XLOOKUP(H35,'rank lookup'!$A$1:$A$21,'rank lookup'!$B$1:$B$21,,0)</f>
        <v>16</v>
      </c>
      <c r="J35" s="1"/>
      <c r="K35" s="23">
        <v>184</v>
      </c>
      <c r="L35" s="23">
        <v>137</v>
      </c>
      <c r="M35" s="5">
        <f t="shared" si="0"/>
        <v>40.465500945179578</v>
      </c>
      <c r="N35" s="4">
        <f t="shared" si="1"/>
        <v>72.440944881889763</v>
      </c>
      <c r="O35">
        <f t="shared" si="2"/>
        <v>6</v>
      </c>
      <c r="P35">
        <f t="shared" si="3"/>
        <v>0.4</v>
      </c>
      <c r="Q35" t="str">
        <f t="shared" si="4"/>
        <v>6' 0.4"</v>
      </c>
      <c r="R35">
        <f t="shared" si="5"/>
        <v>302</v>
      </c>
      <c r="S35">
        <f t="shared" si="6"/>
        <v>21</v>
      </c>
      <c r="T35">
        <f t="shared" si="6"/>
        <v>34</v>
      </c>
      <c r="U35">
        <f t="shared" si="6"/>
        <v>36</v>
      </c>
      <c r="V35">
        <f>_xlfn.XLOOKUP(A35,'January 2023 Data'!$A$4:$A$49,'January 2023 Data'!$H$4:$H$49,,0)</f>
        <v>183</v>
      </c>
      <c r="W35">
        <f t="shared" si="7"/>
        <v>1</v>
      </c>
      <c r="X35" s="22" t="s">
        <v>228</v>
      </c>
      <c r="Y35" t="str">
        <f t="shared" si="8"/>
        <v>Chiyoshoma, 5-8</v>
      </c>
    </row>
    <row r="36" spans="1:25">
      <c r="A36" t="s">
        <v>146</v>
      </c>
      <c r="C36" s="1" t="s">
        <v>147</v>
      </c>
      <c r="D36" s="1" t="s">
        <v>147</v>
      </c>
      <c r="E36" s="1" t="s">
        <v>150</v>
      </c>
      <c r="F36" s="1" t="s">
        <v>140</v>
      </c>
      <c r="G36" s="1" t="s">
        <v>140</v>
      </c>
      <c r="H36" s="1" t="s">
        <v>150</v>
      </c>
      <c r="I36" s="1">
        <f>_xlfn.XLOOKUP(H36,'rank lookup'!$A$1:$A$21,'rank lookup'!$B$1:$B$21,,0)</f>
        <v>17</v>
      </c>
      <c r="J36" s="1"/>
      <c r="K36" s="23">
        <v>191</v>
      </c>
      <c r="L36" s="23">
        <v>161</v>
      </c>
      <c r="M36" s="5">
        <f t="shared" si="0"/>
        <v>44.13256215564266</v>
      </c>
      <c r="N36" s="4">
        <f t="shared" si="1"/>
        <v>75.196850393700785</v>
      </c>
      <c r="O36">
        <f t="shared" si="2"/>
        <v>6</v>
      </c>
      <c r="P36">
        <f t="shared" si="3"/>
        <v>3.2</v>
      </c>
      <c r="Q36" t="str">
        <f t="shared" si="4"/>
        <v>6' 3.2"</v>
      </c>
      <c r="R36">
        <f t="shared" si="5"/>
        <v>355</v>
      </c>
      <c r="S36">
        <f t="shared" si="6"/>
        <v>4</v>
      </c>
      <c r="T36">
        <f t="shared" si="6"/>
        <v>20</v>
      </c>
      <c r="U36">
        <f t="shared" si="6"/>
        <v>28</v>
      </c>
      <c r="V36">
        <f>_xlfn.XLOOKUP(A36,'January 2023 Data'!$A$4:$A$49,'January 2023 Data'!$H$4:$H$49,,0)</f>
        <v>189</v>
      </c>
      <c r="W36">
        <f t="shared" si="7"/>
        <v>2</v>
      </c>
      <c r="X36" s="22" t="s">
        <v>229</v>
      </c>
      <c r="Y36" t="str">
        <f t="shared" si="8"/>
        <v>Kotoshoho, 6-7</v>
      </c>
    </row>
    <row r="37" spans="1:25">
      <c r="A37" s="1" t="s">
        <v>242</v>
      </c>
      <c r="H37" t="s">
        <v>150</v>
      </c>
      <c r="I37" s="1">
        <f>_xlfn.XLOOKUP(H37,'rank lookup'!$A$1:$A$21,'rank lookup'!$B$1:$B$21,,0)</f>
        <v>17</v>
      </c>
      <c r="S37" t="e">
        <f t="shared" si="6"/>
        <v>#N/A</v>
      </c>
      <c r="T37" t="e">
        <f t="shared" si="6"/>
        <v>#N/A</v>
      </c>
      <c r="U37" t="e">
        <f t="shared" si="6"/>
        <v>#N/A</v>
      </c>
      <c r="V37" t="e">
        <f>_xlfn.XLOOKUP(A37,'January 2023 Data'!$A$4:$A$49,'January 2023 Data'!$H$4:$H$49,,0)</f>
        <v>#N/A</v>
      </c>
      <c r="W37" t="e">
        <f t="shared" si="7"/>
        <v>#N/A</v>
      </c>
      <c r="X37" s="22" t="s">
        <v>225</v>
      </c>
      <c r="Y37" t="str">
        <f t="shared" si="8"/>
        <v>Gonoyama, 8-5</v>
      </c>
    </row>
    <row r="38" spans="1:25">
      <c r="A38" s="1" t="s">
        <v>188</v>
      </c>
      <c r="F38" t="s">
        <v>150</v>
      </c>
      <c r="G38" t="s">
        <v>147</v>
      </c>
      <c r="H38" s="1" t="s">
        <v>151</v>
      </c>
      <c r="I38" s="1">
        <f>_xlfn.XLOOKUP(H38,'rank lookup'!$A$1:$A$21,'rank lookup'!$B$1:$B$21,,0)</f>
        <v>18</v>
      </c>
      <c r="J38" s="1"/>
      <c r="K38" s="23">
        <v>185</v>
      </c>
      <c r="L38" s="23">
        <v>196</v>
      </c>
      <c r="M38" s="5">
        <f>L38/(K38*K38)*10000</f>
        <v>57.268078889700504</v>
      </c>
      <c r="N38" s="4">
        <f>CONVERT(K38,"cm","in")</f>
        <v>72.834645669291348</v>
      </c>
      <c r="O38">
        <f>_xlfn.FLOOR.MATH(N38/12)</f>
        <v>6</v>
      </c>
      <c r="P38">
        <f>ROUND(N38-O38*12,1)</f>
        <v>0.8</v>
      </c>
      <c r="Q38" t="str">
        <f>O38&amp;"' "&amp;P38&amp;""""</f>
        <v>6' 0.8"</v>
      </c>
      <c r="R38">
        <f>ROUND(CONVERT(L38,"kg","lbm"),0)</f>
        <v>432</v>
      </c>
      <c r="S38">
        <f t="shared" si="6"/>
        <v>18</v>
      </c>
      <c r="T38">
        <f t="shared" si="6"/>
        <v>1</v>
      </c>
      <c r="U38">
        <f t="shared" si="6"/>
        <v>2</v>
      </c>
      <c r="V38" t="e">
        <f>_xlfn.XLOOKUP(A38,'January 2023 Data'!$A$4:$A$49,'January 2023 Data'!$H$4:$H$49,,0)</f>
        <v>#N/A</v>
      </c>
      <c r="W38" t="e">
        <f t="shared" si="7"/>
        <v>#N/A</v>
      </c>
      <c r="X38" s="22" t="s">
        <v>225</v>
      </c>
      <c r="Y38" t="str">
        <f t="shared" si="8"/>
        <v>Daishoho, 8-5</v>
      </c>
    </row>
    <row r="39" spans="1:25">
      <c r="A39" s="1" t="s">
        <v>243</v>
      </c>
      <c r="H39" t="s">
        <v>151</v>
      </c>
      <c r="I39" s="1">
        <f>_xlfn.XLOOKUP(H39,'rank lookup'!$A$1:$A$21,'rank lookup'!$B$1:$B$21,,0)</f>
        <v>18</v>
      </c>
      <c r="S39" t="e">
        <f t="shared" si="6"/>
        <v>#N/A</v>
      </c>
      <c r="T39" t="e">
        <f t="shared" si="6"/>
        <v>#N/A</v>
      </c>
      <c r="U39" t="e">
        <f t="shared" si="6"/>
        <v>#N/A</v>
      </c>
      <c r="V39" t="e">
        <f>_xlfn.XLOOKUP(A39,'January 2023 Data'!$A$4:$A$49,'January 2023 Data'!$H$4:$H$49,,0)</f>
        <v>#N/A</v>
      </c>
      <c r="W39" t="e">
        <f t="shared" si="7"/>
        <v>#N/A</v>
      </c>
      <c r="X39" s="22" t="s">
        <v>221</v>
      </c>
      <c r="Y39" t="str">
        <f t="shared" si="8"/>
        <v>Shonannoumi, 9-4</v>
      </c>
    </row>
    <row r="40" spans="1:25">
      <c r="A40" t="s">
        <v>149</v>
      </c>
      <c r="C40" s="1" t="s">
        <v>148</v>
      </c>
      <c r="D40" s="1" t="s">
        <v>141</v>
      </c>
      <c r="E40" s="1" t="s">
        <v>140</v>
      </c>
      <c r="F40" s="1" t="s">
        <v>136</v>
      </c>
      <c r="G40" s="1" t="s">
        <v>145</v>
      </c>
      <c r="H40" s="1" t="s">
        <v>152</v>
      </c>
      <c r="I40" s="1">
        <f>_xlfn.XLOOKUP(H40,'rank lookup'!$A$1:$A$21,'rank lookup'!$B$1:$B$21,,0)</f>
        <v>19</v>
      </c>
      <c r="J40" s="1"/>
      <c r="K40" s="24">
        <v>188</v>
      </c>
      <c r="L40" s="23">
        <v>155</v>
      </c>
      <c r="M40" s="5">
        <f>L40/(K40*K40)*10000</f>
        <v>43.854685377999097</v>
      </c>
      <c r="N40" s="4">
        <f>CONVERT(K40,"cm","in")</f>
        <v>74.015748031496059</v>
      </c>
      <c r="O40">
        <f>_xlfn.FLOOR.MATH(N40/12)</f>
        <v>6</v>
      </c>
      <c r="P40">
        <f>ROUND(N40-O40*12,1)</f>
        <v>2</v>
      </c>
      <c r="Q40" t="str">
        <f>O40&amp;"' "&amp;P40&amp;""""</f>
        <v>6' 2"</v>
      </c>
      <c r="R40">
        <f>ROUND(CONVERT(L40,"kg","lbm"),0)</f>
        <v>342</v>
      </c>
      <c r="S40">
        <f t="shared" si="6"/>
        <v>10</v>
      </c>
      <c r="T40">
        <f t="shared" si="6"/>
        <v>25</v>
      </c>
      <c r="U40">
        <f t="shared" si="6"/>
        <v>30</v>
      </c>
      <c r="V40">
        <f>_xlfn.XLOOKUP(A40,'January 2023 Data'!$A$4:$A$49,'January 2023 Data'!$H$4:$H$49,,0)</f>
        <v>187</v>
      </c>
      <c r="W40">
        <f t="shared" si="7"/>
        <v>1</v>
      </c>
      <c r="X40" s="22" t="s">
        <v>224</v>
      </c>
      <c r="Y40" t="str">
        <f t="shared" si="8"/>
        <v>Ryuden, 4-9</v>
      </c>
    </row>
    <row r="41" spans="1:25">
      <c r="A41" s="1" t="s">
        <v>104</v>
      </c>
      <c r="B41" s="1"/>
      <c r="C41" s="1" t="s">
        <v>140</v>
      </c>
      <c r="D41" s="1" t="s">
        <v>142</v>
      </c>
      <c r="E41" s="1" t="s">
        <v>154</v>
      </c>
      <c r="F41" s="1" t="s">
        <v>148</v>
      </c>
      <c r="G41" s="1" t="s">
        <v>145</v>
      </c>
      <c r="H41" s="1" t="s">
        <v>152</v>
      </c>
      <c r="I41" s="1">
        <f>_xlfn.XLOOKUP(H41,'rank lookup'!$A$1:$A$21,'rank lookup'!$B$1:$B$21,,0)</f>
        <v>19</v>
      </c>
      <c r="J41" s="1"/>
      <c r="K41" s="23">
        <v>186</v>
      </c>
      <c r="L41" s="23">
        <v>171</v>
      </c>
      <c r="M41" s="5">
        <f>L41/(K41*K41)*10000</f>
        <v>49.427679500520291</v>
      </c>
      <c r="N41" s="4">
        <f>CONVERT(K41,"cm","in")</f>
        <v>73.228346456692918</v>
      </c>
      <c r="O41">
        <f>_xlfn.FLOOR.MATH(N41/12)</f>
        <v>6</v>
      </c>
      <c r="P41">
        <f>ROUND(N41-O41*12,1)</f>
        <v>1.2</v>
      </c>
      <c r="Q41" t="str">
        <f>O41&amp;"' "&amp;P41&amp;""""</f>
        <v>6' 1.2"</v>
      </c>
      <c r="R41">
        <f>ROUND(CONVERT(L41,"kg","lbm"),0)</f>
        <v>377</v>
      </c>
      <c r="S41">
        <f t="shared" si="6"/>
        <v>15</v>
      </c>
      <c r="T41">
        <f t="shared" si="6"/>
        <v>12</v>
      </c>
      <c r="U41">
        <f t="shared" si="6"/>
        <v>13</v>
      </c>
      <c r="V41">
        <f>_xlfn.XLOOKUP(A41,'January 2023 Data'!$A$4:$A$49,'January 2023 Data'!$H$4:$H$49,,0)</f>
        <v>186</v>
      </c>
      <c r="W41">
        <f t="shared" si="7"/>
        <v>0</v>
      </c>
      <c r="X41" s="22" t="s">
        <v>229</v>
      </c>
      <c r="Y41" t="str">
        <f t="shared" si="8"/>
        <v>Takarafuji, 6-7</v>
      </c>
    </row>
    <row r="42" spans="1:25">
      <c r="A42" s="1" t="s">
        <v>99</v>
      </c>
      <c r="B42" s="1"/>
      <c r="C42" s="1" t="s">
        <v>141</v>
      </c>
      <c r="D42" s="1" t="s">
        <v>135</v>
      </c>
      <c r="E42" s="1" t="s">
        <v>143</v>
      </c>
      <c r="F42" s="1" t="s">
        <v>141</v>
      </c>
      <c r="G42" s="1" t="s">
        <v>136</v>
      </c>
      <c r="H42" s="1" t="s">
        <v>154</v>
      </c>
      <c r="I42" s="1">
        <f>_xlfn.XLOOKUP(H42,'rank lookup'!$A$1:$A$21,'rank lookup'!$B$1:$B$21,,0)</f>
        <v>20</v>
      </c>
      <c r="J42" s="1"/>
      <c r="K42" s="23">
        <v>184</v>
      </c>
      <c r="L42" s="23">
        <v>150</v>
      </c>
      <c r="M42" s="5">
        <f>L42/(K42*K42)*10000</f>
        <v>44.305293005671075</v>
      </c>
      <c r="N42" s="4">
        <f>CONVERT(K42,"cm","in")</f>
        <v>72.440944881889763</v>
      </c>
      <c r="O42">
        <f>_xlfn.FLOOR.MATH(N42/12)</f>
        <v>6</v>
      </c>
      <c r="P42">
        <f>ROUND(N42-O42*12,1)</f>
        <v>0.4</v>
      </c>
      <c r="Q42" t="str">
        <f>O42&amp;"' "&amp;P42&amp;""""</f>
        <v>6' 0.4"</v>
      </c>
      <c r="R42">
        <f>ROUND(CONVERT(L42,"kg","lbm"),0)</f>
        <v>331</v>
      </c>
      <c r="S42">
        <f t="shared" si="6"/>
        <v>21</v>
      </c>
      <c r="T42">
        <f t="shared" si="6"/>
        <v>27</v>
      </c>
      <c r="U42">
        <f t="shared" si="6"/>
        <v>26</v>
      </c>
      <c r="V42">
        <f>_xlfn.XLOOKUP(A42,'January 2023 Data'!$A$4:$A$49,'January 2023 Data'!$H$4:$H$49,,0)</f>
        <v>183</v>
      </c>
      <c r="W42">
        <f t="shared" si="7"/>
        <v>1</v>
      </c>
      <c r="X42" s="22" t="s">
        <v>220</v>
      </c>
      <c r="Y42" t="str">
        <f t="shared" si="8"/>
        <v>Endo, 7-6</v>
      </c>
    </row>
    <row r="43" spans="1:25">
      <c r="A43" s="1" t="s">
        <v>190</v>
      </c>
      <c r="F43" t="s">
        <v>151</v>
      </c>
      <c r="G43" s="1" t="s">
        <v>170</v>
      </c>
      <c r="H43" s="1" t="s">
        <v>154</v>
      </c>
      <c r="I43" s="1">
        <f>_xlfn.XLOOKUP(H43,'rank lookup'!$A$1:$A$21,'rank lookup'!$B$1:$B$21,,0)</f>
        <v>20</v>
      </c>
      <c r="K43" s="23">
        <v>171</v>
      </c>
      <c r="L43" s="23">
        <v>171</v>
      </c>
      <c r="M43" s="5">
        <f>L43/(K43*K43)*10000</f>
        <v>58.479532163742689</v>
      </c>
      <c r="N43" s="4">
        <f>CONVERT(K43,"cm","in")</f>
        <v>67.322834645669289</v>
      </c>
      <c r="O43">
        <f>_xlfn.FLOOR.MATH(N43/12)</f>
        <v>5</v>
      </c>
      <c r="P43">
        <f>ROUND(N43-O43*12,1)</f>
        <v>7.3</v>
      </c>
      <c r="Q43" t="str">
        <f>O43&amp;"' "&amp;P43&amp;""""</f>
        <v>5' 7.3"</v>
      </c>
      <c r="R43">
        <f>ROUND(CONVERT(L43,"kg","lbm"),0)</f>
        <v>377</v>
      </c>
      <c r="S43">
        <f t="shared" si="6"/>
        <v>38</v>
      </c>
      <c r="T43">
        <f t="shared" si="6"/>
        <v>12</v>
      </c>
      <c r="U43">
        <f t="shared" si="6"/>
        <v>1</v>
      </c>
      <c r="V43" t="e">
        <f>_xlfn.XLOOKUP(A43,'January 2023 Data'!$A$4:$A$49,'January 2023 Data'!$H$4:$H$49,,0)</f>
        <v>#N/A</v>
      </c>
      <c r="W43" t="e">
        <f t="shared" si="7"/>
        <v>#N/A</v>
      </c>
      <c r="X43" s="22" t="s">
        <v>225</v>
      </c>
      <c r="Y43" t="str">
        <f t="shared" si="8"/>
        <v>Bushozan, 8-5</v>
      </c>
    </row>
    <row r="44" spans="1:25">
      <c r="A44" s="1" t="s">
        <v>91</v>
      </c>
      <c r="B44" s="1"/>
      <c r="C44" s="1" t="s">
        <v>135</v>
      </c>
      <c r="D44" s="1" t="s">
        <v>145</v>
      </c>
      <c r="E44" s="1" t="s">
        <v>145</v>
      </c>
      <c r="F44" s="1" t="s">
        <v>143</v>
      </c>
      <c r="G44" s="1" t="s">
        <v>148</v>
      </c>
      <c r="H44" s="1" t="s">
        <v>186</v>
      </c>
      <c r="I44" s="1">
        <f>_xlfn.XLOOKUP(H44,'rank lookup'!$A$1:$A$21,'rank lookup'!$B$1:$B$21,,0)</f>
        <v>21</v>
      </c>
      <c r="J44" s="1"/>
      <c r="K44" s="23">
        <v>191</v>
      </c>
      <c r="L44" s="23">
        <v>186</v>
      </c>
      <c r="M44" s="5">
        <f>L44/(K44*K44)*10000</f>
        <v>50.985444477947425</v>
      </c>
      <c r="N44" s="4">
        <f>CONVERT(K44,"cm","in")</f>
        <v>75.196850393700785</v>
      </c>
      <c r="O44">
        <f>_xlfn.FLOOR.MATH(N44/12)</f>
        <v>6</v>
      </c>
      <c r="P44">
        <f>ROUND(N44-O44*12,1)</f>
        <v>3.2</v>
      </c>
      <c r="Q44" t="str">
        <f>O44&amp;"' "&amp;P44&amp;""""</f>
        <v>6' 3.2"</v>
      </c>
      <c r="R44">
        <f>ROUND(CONVERT(L44,"kg","lbm"),0)</f>
        <v>410</v>
      </c>
      <c r="S44">
        <f t="shared" si="6"/>
        <v>4</v>
      </c>
      <c r="T44">
        <f t="shared" si="6"/>
        <v>3</v>
      </c>
      <c r="U44">
        <f t="shared" si="6"/>
        <v>9</v>
      </c>
      <c r="V44">
        <f>_xlfn.XLOOKUP(A44,'January 2023 Data'!$A$4:$A$49,'January 2023 Data'!$H$4:$H$49,,0)</f>
        <v>190</v>
      </c>
      <c r="W44">
        <f t="shared" si="7"/>
        <v>1</v>
      </c>
      <c r="X44" s="22" t="s">
        <v>220</v>
      </c>
      <c r="Y44" t="str">
        <f t="shared" si="8"/>
        <v>Aoiyama, 7-6</v>
      </c>
    </row>
    <row r="45" spans="1:25">
      <c r="A45" s="1" t="s">
        <v>244</v>
      </c>
      <c r="H45" t="s">
        <v>186</v>
      </c>
      <c r="I45" s="1">
        <f>_xlfn.XLOOKUP(H45,'rank lookup'!$A$1:$A$21,'rank lookup'!$B$1:$B$21,,0)</f>
        <v>21</v>
      </c>
      <c r="S45" t="e">
        <f t="shared" si="6"/>
        <v>#N/A</v>
      </c>
      <c r="T45" t="e">
        <f t="shared" si="6"/>
        <v>#N/A</v>
      </c>
      <c r="U45" t="e">
        <f t="shared" si="6"/>
        <v>#N/A</v>
      </c>
      <c r="V45" t="e">
        <f>_xlfn.XLOOKUP(A45,'January 2023 Data'!$A$4:$A$49,'January 2023 Data'!$H$4:$H$49,,0)</f>
        <v>#N/A</v>
      </c>
      <c r="W45" t="e">
        <f t="shared" si="7"/>
        <v>#N/A</v>
      </c>
      <c r="X45" s="22" t="s">
        <v>220</v>
      </c>
      <c r="Y45" t="str">
        <f t="shared" si="8"/>
        <v>Hakuoho, 7-6</v>
      </c>
    </row>
    <row r="46" spans="1:25">
      <c r="A46" s="1" t="s">
        <v>89</v>
      </c>
      <c r="B46" s="1">
        <v>1</v>
      </c>
      <c r="C46" s="1" t="s">
        <v>42</v>
      </c>
      <c r="D46" s="1" t="s">
        <v>136</v>
      </c>
      <c r="E46" s="1" t="s">
        <v>135</v>
      </c>
      <c r="F46" s="1" t="s">
        <v>170</v>
      </c>
      <c r="G46" s="1" t="s">
        <v>150</v>
      </c>
      <c r="H46" s="1" t="s">
        <v>179</v>
      </c>
      <c r="I46" s="1" t="e">
        <f>_xlfn.XLOOKUP(H46,'rank lookup'!$A$1:$A$21,'rank lookup'!$B$1:$B$21,,0)</f>
        <v>#N/A</v>
      </c>
      <c r="J46" s="1"/>
      <c r="K46" s="23">
        <v>191</v>
      </c>
      <c r="L46" s="23">
        <v>219</v>
      </c>
      <c r="M46" s="5">
        <f t="shared" ref="M46:M57" si="10">L46/(K46*K46)*10000</f>
        <v>60.031249143389715</v>
      </c>
      <c r="N46" s="4">
        <f t="shared" ref="N46:N57" si="11">CONVERT(K46,"cm","in")</f>
        <v>75.196850393700785</v>
      </c>
      <c r="O46">
        <f t="shared" ref="O46:O57" si="12">_xlfn.FLOOR.MATH(N46/12)</f>
        <v>6</v>
      </c>
      <c r="P46">
        <f t="shared" ref="P46:P57" si="13">ROUND(N46-O46*12,1)</f>
        <v>3.2</v>
      </c>
      <c r="Q46" t="str">
        <f t="shared" ref="Q46:Q57" si="14">O46&amp;"' "&amp;P46&amp;""""</f>
        <v>6' 3.2"</v>
      </c>
      <c r="R46">
        <f t="shared" ref="R46:R57" si="15">ROUND(CONVERT(L46,"kg","lbm"),0)</f>
        <v>483</v>
      </c>
      <c r="V46">
        <f>_xlfn.XLOOKUP(A46,'January 2023 Data'!$A$4:$A$49,'January 2023 Data'!$H$4:$H$49,,0)</f>
        <v>190</v>
      </c>
      <c r="W46">
        <f>K46-V46</f>
        <v>1</v>
      </c>
      <c r="Y46" t="str">
        <f t="shared" si="8"/>
        <v xml:space="preserve">Ichinojo, </v>
      </c>
    </row>
    <row r="47" spans="1:25">
      <c r="A47" s="1" t="s">
        <v>98</v>
      </c>
      <c r="B47" s="1"/>
      <c r="C47" s="1" t="s">
        <v>150</v>
      </c>
      <c r="D47" s="1" t="s">
        <v>151</v>
      </c>
      <c r="E47" s="1" t="s">
        <v>151</v>
      </c>
      <c r="F47" s="1" t="s">
        <v>142</v>
      </c>
      <c r="G47" s="1" t="s">
        <v>152</v>
      </c>
      <c r="H47" s="1" t="s">
        <v>170</v>
      </c>
      <c r="I47" s="1" t="e">
        <f>_xlfn.XLOOKUP(H47,'rank lookup'!$A$1:$A$21,'rank lookup'!$B$1:$B$21,,0)</f>
        <v>#N/A</v>
      </c>
      <c r="J47" s="1"/>
      <c r="K47" s="23">
        <v>187</v>
      </c>
      <c r="L47" s="23">
        <v>144</v>
      </c>
      <c r="M47" s="5">
        <f t="shared" si="10"/>
        <v>41.179330263948074</v>
      </c>
      <c r="N47" s="4">
        <f t="shared" si="11"/>
        <v>73.622047244094489</v>
      </c>
      <c r="O47">
        <f t="shared" si="12"/>
        <v>6</v>
      </c>
      <c r="P47">
        <f t="shared" si="13"/>
        <v>1.6</v>
      </c>
      <c r="Q47" t="str">
        <f t="shared" si="14"/>
        <v>6' 1.6"</v>
      </c>
      <c r="R47">
        <f t="shared" si="15"/>
        <v>317</v>
      </c>
      <c r="V47">
        <f>_xlfn.XLOOKUP(A47,'January 2023 Data'!$A$4:$A$49,'January 2023 Data'!$H$4:$H$49,,0)</f>
        <v>187</v>
      </c>
      <c r="W47">
        <f t="shared" si="7"/>
        <v>0</v>
      </c>
      <c r="Y47" t="str">
        <f t="shared" si="8"/>
        <v xml:space="preserve">Ichiyamamoto, </v>
      </c>
    </row>
    <row r="48" spans="1:25">
      <c r="A48" t="s">
        <v>153</v>
      </c>
      <c r="C48" s="1" t="s">
        <v>154</v>
      </c>
      <c r="D48" s="1" t="s">
        <v>170</v>
      </c>
      <c r="E48" s="1" t="s">
        <v>152</v>
      </c>
      <c r="F48" s="1" t="s">
        <v>186</v>
      </c>
      <c r="G48" s="1" t="s">
        <v>154</v>
      </c>
      <c r="H48" s="1" t="s">
        <v>192</v>
      </c>
      <c r="I48" s="1" t="e">
        <f>_xlfn.XLOOKUP(H48,'rank lookup'!$A$1:$A$21,'rank lookup'!$B$1:$B$21,,0)</f>
        <v>#N/A</v>
      </c>
      <c r="J48" s="1"/>
      <c r="K48" s="23">
        <v>189</v>
      </c>
      <c r="L48" s="23">
        <v>199</v>
      </c>
      <c r="M48" s="5">
        <f t="shared" si="10"/>
        <v>55.709526608997514</v>
      </c>
      <c r="N48" s="4">
        <f t="shared" si="11"/>
        <v>74.409448818897644</v>
      </c>
      <c r="O48">
        <f t="shared" si="12"/>
        <v>6</v>
      </c>
      <c r="P48">
        <f t="shared" si="13"/>
        <v>2.4</v>
      </c>
      <c r="Q48" t="str">
        <f t="shared" si="14"/>
        <v>6' 2.4"</v>
      </c>
      <c r="R48">
        <f t="shared" si="15"/>
        <v>439</v>
      </c>
      <c r="V48">
        <f>_xlfn.XLOOKUP(A48,'January 2023 Data'!$A$4:$A$49,'January 2023 Data'!$H$4:$H$49,,0)</f>
        <v>190</v>
      </c>
      <c r="W48">
        <f t="shared" si="7"/>
        <v>-1</v>
      </c>
      <c r="Y48" t="str">
        <f t="shared" si="8"/>
        <v xml:space="preserve">Mitoryu, </v>
      </c>
    </row>
    <row r="49" spans="1:25">
      <c r="A49" s="1" t="s">
        <v>167</v>
      </c>
      <c r="D49" t="s">
        <v>152</v>
      </c>
      <c r="E49" t="s">
        <v>148</v>
      </c>
      <c r="F49" t="s">
        <v>148</v>
      </c>
      <c r="G49" s="1" t="s">
        <v>186</v>
      </c>
      <c r="H49" s="1" t="s">
        <v>241</v>
      </c>
      <c r="I49" s="1" t="e">
        <f>_xlfn.XLOOKUP(H49,'rank lookup'!$A$1:$A$21,'rank lookup'!$B$1:$B$21,,0)</f>
        <v>#N/A</v>
      </c>
      <c r="K49" s="23">
        <v>193</v>
      </c>
      <c r="L49" s="23">
        <v>156</v>
      </c>
      <c r="M49" s="5">
        <f t="shared" si="10"/>
        <v>41.880318934736501</v>
      </c>
      <c r="N49" s="4">
        <f t="shared" si="11"/>
        <v>75.984251968503941</v>
      </c>
      <c r="O49">
        <f t="shared" si="12"/>
        <v>6</v>
      </c>
      <c r="P49">
        <f t="shared" si="13"/>
        <v>4</v>
      </c>
      <c r="Q49" t="str">
        <f t="shared" si="14"/>
        <v>6' 4"</v>
      </c>
      <c r="R49">
        <f t="shared" si="15"/>
        <v>344</v>
      </c>
      <c r="V49">
        <f>_xlfn.XLOOKUP(A49,'January 2023 Data'!$A$4:$A$49,'January 2023 Data'!$H$4:$H$49,,0)</f>
        <v>193</v>
      </c>
      <c r="W49">
        <f t="shared" si="7"/>
        <v>0</v>
      </c>
      <c r="Y49" t="str">
        <f t="shared" si="8"/>
        <v xml:space="preserve">Kagayaki, </v>
      </c>
    </row>
    <row r="50" spans="1:25">
      <c r="A50" s="1" t="s">
        <v>166</v>
      </c>
      <c r="D50" t="s">
        <v>151</v>
      </c>
      <c r="E50" s="1" t="s">
        <v>151</v>
      </c>
      <c r="F50" s="1" t="s">
        <v>147</v>
      </c>
      <c r="G50" s="1" t="s">
        <v>192</v>
      </c>
      <c r="H50" s="1" t="s">
        <v>245</v>
      </c>
      <c r="I50" s="1" t="e">
        <f>_xlfn.XLOOKUP(H50,'rank lookup'!$A$1:$A$21,'rank lookup'!$B$1:$B$21,,0)</f>
        <v>#N/A</v>
      </c>
      <c r="J50" s="1"/>
      <c r="K50" s="23">
        <v>192</v>
      </c>
      <c r="L50" s="23">
        <v>159</v>
      </c>
      <c r="M50" s="5">
        <f t="shared" si="10"/>
        <v>43.131510416666671</v>
      </c>
      <c r="N50" s="4">
        <f t="shared" si="11"/>
        <v>75.59055118110237</v>
      </c>
      <c r="O50">
        <f t="shared" si="12"/>
        <v>6</v>
      </c>
      <c r="P50">
        <f t="shared" si="13"/>
        <v>3.6</v>
      </c>
      <c r="Q50" t="str">
        <f t="shared" si="14"/>
        <v>6' 3.6"</v>
      </c>
      <c r="R50">
        <f t="shared" si="15"/>
        <v>351</v>
      </c>
      <c r="V50">
        <f>_xlfn.XLOOKUP(A50,'January 2023 Data'!$A$4:$A$49,'January 2023 Data'!$H$4:$H$49,,0)</f>
        <v>191</v>
      </c>
      <c r="W50">
        <f t="shared" si="7"/>
        <v>1</v>
      </c>
      <c r="Y50" t="str">
        <f t="shared" si="8"/>
        <v xml:space="preserve">Azumaryu, </v>
      </c>
    </row>
    <row r="51" spans="1:25">
      <c r="A51" s="1" t="s">
        <v>87</v>
      </c>
      <c r="B51" s="1">
        <v>1</v>
      </c>
      <c r="C51" s="1" t="s">
        <v>142</v>
      </c>
      <c r="D51" s="1" t="s">
        <v>142</v>
      </c>
      <c r="E51" s="1" t="s">
        <v>147</v>
      </c>
      <c r="F51" s="1" t="s">
        <v>192</v>
      </c>
      <c r="G51" s="1" t="s">
        <v>232</v>
      </c>
      <c r="H51" s="1" t="s">
        <v>179</v>
      </c>
      <c r="I51" s="1" t="e">
        <f>_xlfn.XLOOKUP(H51,'rank lookup'!$A$1:$A$21,'rank lookup'!$B$1:$B$21,,0)</f>
        <v>#N/A</v>
      </c>
      <c r="J51" s="1"/>
      <c r="K51" s="23">
        <v>192</v>
      </c>
      <c r="L51" s="23">
        <v>189</v>
      </c>
      <c r="M51" s="5">
        <f t="shared" si="10"/>
        <v>51.26953125</v>
      </c>
      <c r="N51" s="4">
        <f t="shared" si="11"/>
        <v>75.59055118110237</v>
      </c>
      <c r="O51">
        <f t="shared" si="12"/>
        <v>6</v>
      </c>
      <c r="P51">
        <f t="shared" si="13"/>
        <v>3.6</v>
      </c>
      <c r="Q51" t="str">
        <f t="shared" si="14"/>
        <v>6' 3.6"</v>
      </c>
      <c r="R51">
        <f t="shared" si="15"/>
        <v>417</v>
      </c>
      <c r="V51">
        <f>_xlfn.XLOOKUP(A51,'January 2023 Data'!$A$4:$A$49,'January 2023 Data'!$H$4:$H$49,,0)</f>
        <v>192</v>
      </c>
      <c r="W51">
        <f t="shared" si="7"/>
        <v>0</v>
      </c>
      <c r="Y51" t="str">
        <f t="shared" si="8"/>
        <v xml:space="preserve">Tochinoshin, </v>
      </c>
    </row>
    <row r="52" spans="1:25">
      <c r="A52" s="1" t="s">
        <v>90</v>
      </c>
      <c r="B52" s="1"/>
      <c r="C52" s="1" t="s">
        <v>148</v>
      </c>
      <c r="D52" s="1" t="s">
        <v>150</v>
      </c>
      <c r="E52" s="1" t="s">
        <v>148</v>
      </c>
      <c r="F52" s="1" t="s">
        <v>179</v>
      </c>
      <c r="G52" s="1"/>
      <c r="H52" s="1"/>
      <c r="I52" s="1" t="e">
        <f>_xlfn.XLOOKUP(H52,'rank lookup'!$A$1:$A$21,'rank lookup'!$B$1:$B$21,,0)</f>
        <v>#N/A</v>
      </c>
      <c r="J52" s="1"/>
      <c r="K52" s="23">
        <v>189</v>
      </c>
      <c r="L52" s="23">
        <v>161</v>
      </c>
      <c r="M52" s="5">
        <f t="shared" si="10"/>
        <v>45.071526553008034</v>
      </c>
      <c r="N52" s="4">
        <f t="shared" si="11"/>
        <v>74.409448818897644</v>
      </c>
      <c r="O52">
        <f t="shared" si="12"/>
        <v>6</v>
      </c>
      <c r="P52">
        <f t="shared" si="13"/>
        <v>2.4</v>
      </c>
      <c r="Q52" t="str">
        <f t="shared" si="14"/>
        <v>6' 2.4"</v>
      </c>
      <c r="R52">
        <f t="shared" si="15"/>
        <v>355</v>
      </c>
      <c r="V52">
        <f>_xlfn.XLOOKUP(A52,'January 2023 Data'!$A$4:$A$49,'January 2023 Data'!$H$4:$H$49,,0)</f>
        <v>189</v>
      </c>
      <c r="W52">
        <f t="shared" si="7"/>
        <v>0</v>
      </c>
      <c r="Y52" t="str">
        <f t="shared" si="8"/>
        <v xml:space="preserve">Okinoumi, </v>
      </c>
    </row>
    <row r="53" spans="1:25">
      <c r="A53" t="s">
        <v>119</v>
      </c>
      <c r="E53" s="1" t="s">
        <v>154</v>
      </c>
      <c r="F53" s="1" t="s">
        <v>169</v>
      </c>
      <c r="G53" s="1" t="s">
        <v>180</v>
      </c>
      <c r="H53" s="1" t="s">
        <v>246</v>
      </c>
      <c r="I53" s="1" t="e">
        <f>_xlfn.XLOOKUP(H53,'rank lookup'!$A$1:$A$21,'rank lookup'!$B$1:$B$21,,0)</f>
        <v>#N/A</v>
      </c>
      <c r="J53" s="1"/>
      <c r="K53" s="23">
        <v>178</v>
      </c>
      <c r="L53" s="23">
        <v>166</v>
      </c>
      <c r="M53" s="5">
        <f t="shared" si="10"/>
        <v>52.392374700164119</v>
      </c>
      <c r="N53" s="4">
        <f t="shared" si="11"/>
        <v>70.078740157480311</v>
      </c>
      <c r="O53">
        <f t="shared" si="12"/>
        <v>5</v>
      </c>
      <c r="P53">
        <f t="shared" si="13"/>
        <v>10.1</v>
      </c>
      <c r="Q53" t="str">
        <f t="shared" si="14"/>
        <v>5' 10.1"</v>
      </c>
      <c r="R53">
        <f t="shared" si="15"/>
        <v>366</v>
      </c>
      <c r="V53">
        <f>_xlfn.XLOOKUP(A53,'January 2023 Data'!$A$4:$A$49,'January 2023 Data'!$H$4:$H$49,,0)</f>
        <v>177</v>
      </c>
      <c r="W53">
        <f t="shared" si="7"/>
        <v>1</v>
      </c>
      <c r="Y53" t="str">
        <f t="shared" si="8"/>
        <v xml:space="preserve">Chiyomaru, </v>
      </c>
    </row>
    <row r="54" spans="1:25">
      <c r="A54" s="1" t="s">
        <v>113</v>
      </c>
      <c r="B54" s="1"/>
      <c r="C54" s="1" t="s">
        <v>147</v>
      </c>
      <c r="D54" s="1" t="s">
        <v>148</v>
      </c>
      <c r="E54" s="1" t="s">
        <v>179</v>
      </c>
      <c r="F54" s="1"/>
      <c r="G54" s="1"/>
      <c r="H54" s="1"/>
      <c r="I54" s="1" t="e">
        <f>_xlfn.XLOOKUP(H54,'rank lookup'!$A$1:$A$21,'rank lookup'!$B$1:$B$21,,0)</f>
        <v>#N/A</v>
      </c>
      <c r="J54" s="1"/>
      <c r="K54" s="23">
        <v>181</v>
      </c>
      <c r="L54" s="23">
        <v>189</v>
      </c>
      <c r="M54" s="5">
        <f t="shared" si="10"/>
        <v>57.690546686609082</v>
      </c>
      <c r="N54" s="4">
        <f t="shared" si="11"/>
        <v>71.259842519685037</v>
      </c>
      <c r="O54">
        <f t="shared" si="12"/>
        <v>5</v>
      </c>
      <c r="P54">
        <f t="shared" si="13"/>
        <v>11.3</v>
      </c>
      <c r="Q54" t="str">
        <f t="shared" si="14"/>
        <v>5' 11.3"</v>
      </c>
      <c r="R54">
        <f t="shared" si="15"/>
        <v>417</v>
      </c>
      <c r="Y54" t="str">
        <f t="shared" si="8"/>
        <v xml:space="preserve">Chiyotairyu, </v>
      </c>
    </row>
    <row r="55" spans="1:25">
      <c r="A55" s="1" t="s">
        <v>168</v>
      </c>
      <c r="D55" t="s">
        <v>152</v>
      </c>
      <c r="E55" s="1" t="s">
        <v>170</v>
      </c>
      <c r="F55" s="1" t="s">
        <v>187</v>
      </c>
      <c r="G55" s="1" t="s">
        <v>187</v>
      </c>
      <c r="H55" s="1" t="s">
        <v>241</v>
      </c>
      <c r="I55" s="1" t="e">
        <f>_xlfn.XLOOKUP(H55,'rank lookup'!$A$1:$A$21,'rank lookup'!$B$1:$B$21,,0)</f>
        <v>#N/A</v>
      </c>
      <c r="K55" s="23">
        <v>185</v>
      </c>
      <c r="L55" s="23">
        <v>174</v>
      </c>
      <c r="M55" s="5">
        <f t="shared" si="10"/>
        <v>50.840029218407601</v>
      </c>
      <c r="N55" s="4">
        <f t="shared" si="11"/>
        <v>72.834645669291348</v>
      </c>
      <c r="O55">
        <f t="shared" si="12"/>
        <v>6</v>
      </c>
      <c r="P55">
        <f t="shared" si="13"/>
        <v>0.8</v>
      </c>
      <c r="Q55" t="str">
        <f t="shared" si="14"/>
        <v>6' 0.8"</v>
      </c>
      <c r="R55">
        <f t="shared" si="15"/>
        <v>384</v>
      </c>
      <c r="Y55" t="str">
        <f t="shared" si="8"/>
        <v xml:space="preserve">Atamifuji, </v>
      </c>
    </row>
    <row r="56" spans="1:25">
      <c r="A56" s="1" t="s">
        <v>126</v>
      </c>
      <c r="B56" s="1"/>
      <c r="C56" s="1" t="s">
        <v>152</v>
      </c>
      <c r="D56" s="1" t="s">
        <v>154</v>
      </c>
      <c r="E56" s="1" t="s">
        <v>180</v>
      </c>
      <c r="F56" s="1" t="s">
        <v>194</v>
      </c>
      <c r="G56" s="1" t="s">
        <v>233</v>
      </c>
      <c r="H56" s="1"/>
      <c r="I56" s="1" t="e">
        <f>_xlfn.XLOOKUP(H56,'rank lookup'!$A$1:$A$21,'rank lookup'!$B$1:$B$21,,0)</f>
        <v>#N/A</v>
      </c>
      <c r="J56" s="1"/>
      <c r="K56" s="23">
        <v>169</v>
      </c>
      <c r="L56" s="23">
        <v>107</v>
      </c>
      <c r="M56" s="5">
        <f t="shared" si="10"/>
        <v>37.463674241098005</v>
      </c>
      <c r="N56" s="4">
        <f t="shared" si="11"/>
        <v>66.535433070866134</v>
      </c>
      <c r="O56">
        <f t="shared" si="12"/>
        <v>5</v>
      </c>
      <c r="P56">
        <f t="shared" si="13"/>
        <v>6.5</v>
      </c>
      <c r="Q56" t="str">
        <f t="shared" si="14"/>
        <v>5' 6.5"</v>
      </c>
      <c r="R56">
        <f t="shared" si="15"/>
        <v>236</v>
      </c>
      <c r="Y56" t="str">
        <f t="shared" si="8"/>
        <v xml:space="preserve">Terutsuyoshi, </v>
      </c>
    </row>
    <row r="57" spans="1:25">
      <c r="A57" s="1" t="s">
        <v>107</v>
      </c>
      <c r="B57" s="1"/>
      <c r="C57" s="1" t="s">
        <v>151</v>
      </c>
      <c r="D57" s="1" t="s">
        <v>169</v>
      </c>
      <c r="E57" s="1" t="s">
        <v>179</v>
      </c>
      <c r="F57" s="1"/>
      <c r="G57" s="1"/>
      <c r="H57" s="1"/>
      <c r="I57" s="1" t="e">
        <f>_xlfn.XLOOKUP(H57,'rank lookup'!$A$1:$A$21,'rank lookup'!$B$1:$B$21,,0)</f>
        <v>#N/A</v>
      </c>
      <c r="J57" s="1"/>
      <c r="K57" s="23">
        <v>185</v>
      </c>
      <c r="L57" s="23">
        <v>181</v>
      </c>
      <c r="M57" s="5">
        <f t="shared" si="10"/>
        <v>52.885317750182615</v>
      </c>
      <c r="N57" s="4">
        <f t="shared" si="11"/>
        <v>72.834645669291348</v>
      </c>
      <c r="O57">
        <f t="shared" si="12"/>
        <v>6</v>
      </c>
      <c r="P57">
        <f t="shared" si="13"/>
        <v>0.8</v>
      </c>
      <c r="Q57" t="str">
        <f t="shared" si="14"/>
        <v>6' 0.8"</v>
      </c>
      <c r="R57">
        <f t="shared" si="15"/>
        <v>399</v>
      </c>
      <c r="Y57" t="str">
        <f t="shared" si="8"/>
        <v xml:space="preserve">Yutakayama, </v>
      </c>
    </row>
  </sheetData>
  <autoFilter ref="A3:R55" xr:uid="{7067DD38-AD06-4250-9520-A2F29B57D9C0}">
    <sortState xmlns:xlrd2="http://schemas.microsoft.com/office/spreadsheetml/2017/richdata2" ref="A4:R57">
      <sortCondition ref="I3:I55"/>
    </sortState>
  </autoFilter>
  <hyperlinks>
    <hyperlink ref="C2" r:id="rId1" xr:uid="{45EC4F3C-0ED0-4FD5-A1B4-9C029D3A894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281A-04EB-414D-95D4-C2F7EC9BB789}">
  <dimension ref="A1:AA53"/>
  <sheetViews>
    <sheetView zoomScale="106" zoomScaleNormal="106" workbookViewId="0">
      <pane xSplit="1" ySplit="3" topLeftCell="F30" activePane="bottomRight" state="frozen"/>
      <selection pane="topRight" activeCell="B1" sqref="B1"/>
      <selection pane="bottomLeft" activeCell="A4" sqref="A4"/>
      <selection pane="bottomRight" activeCell="J38" sqref="J38"/>
    </sheetView>
  </sheetViews>
  <sheetFormatPr defaultRowHeight="14.5"/>
  <cols>
    <col min="1" max="8" width="21.1796875" customWidth="1"/>
    <col min="11" max="11" width="11.26953125" bestFit="1" customWidth="1"/>
    <col min="12" max="12" width="8.7265625" style="4"/>
    <col min="19" max="19" width="9.54296875" customWidth="1"/>
    <col min="23" max="23" width="17.81640625" customWidth="1"/>
  </cols>
  <sheetData>
    <row r="1" spans="1:27">
      <c r="C1" t="s">
        <v>174</v>
      </c>
      <c r="I1" t="s">
        <v>197</v>
      </c>
    </row>
    <row r="2" spans="1:27">
      <c r="C2" s="17" t="s">
        <v>162</v>
      </c>
      <c r="D2" s="17"/>
      <c r="E2" s="17"/>
      <c r="F2" s="17"/>
      <c r="Q2">
        <f>MAX(Q4:Q45)</f>
        <v>41</v>
      </c>
      <c r="R2">
        <f>MAX(R4:R45)</f>
        <v>42</v>
      </c>
      <c r="S2">
        <f>MAX(S4:S45)</f>
        <v>42</v>
      </c>
    </row>
    <row r="3" spans="1:27">
      <c r="A3" t="s">
        <v>3</v>
      </c>
      <c r="B3" t="s">
        <v>11</v>
      </c>
      <c r="C3" t="s">
        <v>131</v>
      </c>
      <c r="D3" t="s">
        <v>163</v>
      </c>
      <c r="E3" t="s">
        <v>175</v>
      </c>
      <c r="F3" t="s">
        <v>185</v>
      </c>
      <c r="G3" t="s">
        <v>177</v>
      </c>
      <c r="H3" t="s">
        <v>164</v>
      </c>
      <c r="I3" t="s">
        <v>5</v>
      </c>
      <c r="J3" t="s">
        <v>4</v>
      </c>
      <c r="K3" t="s">
        <v>26</v>
      </c>
      <c r="L3" s="4" t="s">
        <v>6</v>
      </c>
      <c r="M3" t="s">
        <v>7</v>
      </c>
      <c r="N3" t="s">
        <v>8</v>
      </c>
      <c r="O3" t="s">
        <v>9</v>
      </c>
      <c r="P3" t="s">
        <v>10</v>
      </c>
      <c r="Q3" t="s">
        <v>171</v>
      </c>
      <c r="R3" t="s">
        <v>172</v>
      </c>
      <c r="S3" t="s">
        <v>173</v>
      </c>
      <c r="T3" t="s">
        <v>216</v>
      </c>
      <c r="U3" s="14" t="s">
        <v>182</v>
      </c>
      <c r="V3" t="s">
        <v>217</v>
      </c>
      <c r="W3" t="s">
        <v>219</v>
      </c>
      <c r="Y3">
        <f>SUM(Y4:Y10)</f>
        <v>38</v>
      </c>
      <c r="Z3">
        <f>Y3-Y5</f>
        <v>21</v>
      </c>
      <c r="AA3">
        <f>Z3/Y3</f>
        <v>0.55263157894736847</v>
      </c>
    </row>
    <row r="4" spans="1:27">
      <c r="A4" s="1" t="s">
        <v>86</v>
      </c>
      <c r="B4" s="1">
        <v>7</v>
      </c>
      <c r="C4" s="1" t="s">
        <v>14</v>
      </c>
      <c r="D4" s="1" t="s">
        <v>14</v>
      </c>
      <c r="E4" s="1" t="s">
        <v>14</v>
      </c>
      <c r="F4" s="1" t="s">
        <v>14</v>
      </c>
      <c r="G4" s="1">
        <f>_xlfn.XLOOKUP(F4,'rank lookup'!$A$1:$A$21,'rank lookup'!$B$1:$B$21,,0)</f>
        <v>1</v>
      </c>
      <c r="H4" s="1"/>
      <c r="I4" s="19">
        <v>192</v>
      </c>
      <c r="J4" s="19">
        <v>180</v>
      </c>
      <c r="K4" s="5">
        <f t="shared" ref="K4:K35" si="0">J4/(I4*I4)*10000</f>
        <v>48.828125</v>
      </c>
      <c r="L4" s="4">
        <f t="shared" ref="L4:L35" si="1">CONVERT(I4,"cm","in")</f>
        <v>75.59055118110237</v>
      </c>
      <c r="M4">
        <f t="shared" ref="M4:M35" si="2">_xlfn.FLOOR.MATH(L4/12)</f>
        <v>6</v>
      </c>
      <c r="N4">
        <f t="shared" ref="N4:N35" si="3">ROUND(L4-M4*12,1)</f>
        <v>3.6</v>
      </c>
      <c r="O4" t="str">
        <f t="shared" ref="O4:O35" si="4">M4&amp;"' "&amp;N4&amp;""""</f>
        <v>6' 3.6"</v>
      </c>
      <c r="P4">
        <f t="shared" ref="P4:P35" si="5">ROUND(CONVERT(J4,"kg","lbm"),0)</f>
        <v>397</v>
      </c>
      <c r="Q4">
        <f>_xlfn.RANK.EQ(I4,I$4:I$45)</f>
        <v>3</v>
      </c>
      <c r="R4">
        <f>_xlfn.RANK.EQ(J4,J$4:J$45)</f>
        <v>5</v>
      </c>
      <c r="S4">
        <f>_xlfn.RANK.EQ(K4,K$4:K$45)</f>
        <v>15</v>
      </c>
      <c r="T4">
        <f>_xlfn.XLOOKUP(A4,'January 2023 Data'!$A$4:$A$49,'January 2023 Data'!$H$4:$H$49,,0)</f>
        <v>192</v>
      </c>
      <c r="U4">
        <f>I4-T4</f>
        <v>0</v>
      </c>
      <c r="V4" t="s">
        <v>218</v>
      </c>
      <c r="W4" t="str">
        <f>A4&amp;", "&amp;V4</f>
        <v>Terunofuji, OUT</v>
      </c>
      <c r="X4" cm="1">
        <f t="array" ref="X4:X10">_xlfn.SEQUENCE(7,1,-1)</f>
        <v>-1</v>
      </c>
      <c r="Y4">
        <f>COUNTIF(U$4:U$45,X4)</f>
        <v>7</v>
      </c>
    </row>
    <row r="5" spans="1:27">
      <c r="A5" s="1" t="s">
        <v>123</v>
      </c>
      <c r="B5" s="1">
        <v>2</v>
      </c>
      <c r="C5" s="1" t="s">
        <v>39</v>
      </c>
      <c r="D5" s="1" t="s">
        <v>39</v>
      </c>
      <c r="E5" s="1" t="s">
        <v>39</v>
      </c>
      <c r="F5" s="1" t="s">
        <v>39</v>
      </c>
      <c r="G5" s="1">
        <f>_xlfn.XLOOKUP(F5,'rank lookup'!$A$1:$A$21,'rank lookup'!$B$1:$B$21,,0)</f>
        <v>2</v>
      </c>
      <c r="H5" s="1"/>
      <c r="I5" s="19">
        <v>175</v>
      </c>
      <c r="J5" s="19">
        <v>165</v>
      </c>
      <c r="K5" s="5">
        <f t="shared" si="0"/>
        <v>53.877551020408163</v>
      </c>
      <c r="L5" s="4">
        <f t="shared" si="1"/>
        <v>68.897637795275585</v>
      </c>
      <c r="M5">
        <f t="shared" si="2"/>
        <v>5</v>
      </c>
      <c r="N5">
        <f t="shared" si="3"/>
        <v>8.9</v>
      </c>
      <c r="O5" t="str">
        <f t="shared" si="4"/>
        <v>5' 8.9"</v>
      </c>
      <c r="P5">
        <f t="shared" si="5"/>
        <v>364</v>
      </c>
      <c r="Q5">
        <f t="shared" ref="Q5:S45" si="6">_xlfn.RANK.EQ(I5,I$4:I$45)</f>
        <v>38</v>
      </c>
      <c r="R5">
        <f t="shared" si="6"/>
        <v>16</v>
      </c>
      <c r="S5">
        <f t="shared" si="6"/>
        <v>5</v>
      </c>
      <c r="T5">
        <f>_xlfn.XLOOKUP(A5,'January 2023 Data'!$A$4:$A$49,'January 2023 Data'!$H$4:$H$49,,0)</f>
        <v>175</v>
      </c>
      <c r="U5">
        <f t="shared" ref="U5:U53" si="7">I5-T5</f>
        <v>0</v>
      </c>
      <c r="V5" t="s">
        <v>218</v>
      </c>
      <c r="W5" t="str">
        <f t="shared" ref="W5:W53" si="8">A5&amp;", "&amp;V5</f>
        <v>Takakeisho, OUT</v>
      </c>
      <c r="X5">
        <v>0</v>
      </c>
      <c r="Y5">
        <f t="shared" ref="Y5:Y10" si="9">COUNTIF(U$4:U$45,X5)</f>
        <v>17</v>
      </c>
    </row>
    <row r="6" spans="1:27" ht="25">
      <c r="A6" s="1" t="s">
        <v>114</v>
      </c>
      <c r="B6" s="1"/>
      <c r="C6" s="1" t="s">
        <v>31</v>
      </c>
      <c r="D6" s="1" t="s">
        <v>31</v>
      </c>
      <c r="E6" s="1" t="s">
        <v>31</v>
      </c>
      <c r="F6" s="1" t="s">
        <v>31</v>
      </c>
      <c r="G6" s="1">
        <f>_xlfn.XLOOKUP(F6,'rank lookup'!$A$1:$A$21,'rank lookup'!$B$1:$B$21,,0)</f>
        <v>3</v>
      </c>
      <c r="H6" s="1" t="s">
        <v>196</v>
      </c>
      <c r="I6" s="19">
        <v>182</v>
      </c>
      <c r="J6" s="19">
        <v>132</v>
      </c>
      <c r="K6" s="5">
        <f t="shared" si="0"/>
        <v>39.850259630479414</v>
      </c>
      <c r="L6" s="4">
        <f t="shared" si="1"/>
        <v>71.653543307086608</v>
      </c>
      <c r="M6">
        <f t="shared" si="2"/>
        <v>5</v>
      </c>
      <c r="N6">
        <f t="shared" si="3"/>
        <v>11.7</v>
      </c>
      <c r="O6" t="str">
        <f t="shared" si="4"/>
        <v>5' 11.7"</v>
      </c>
      <c r="P6">
        <f t="shared" si="5"/>
        <v>291</v>
      </c>
      <c r="Q6">
        <f t="shared" si="6"/>
        <v>30</v>
      </c>
      <c r="R6">
        <f t="shared" si="6"/>
        <v>40</v>
      </c>
      <c r="S6">
        <f t="shared" si="6"/>
        <v>42</v>
      </c>
      <c r="T6">
        <f>_xlfn.XLOOKUP(A6,'January 2023 Data'!$A$4:$A$49,'January 2023 Data'!$H$4:$H$49,,0)</f>
        <v>183</v>
      </c>
      <c r="U6">
        <f t="shared" si="7"/>
        <v>-1</v>
      </c>
      <c r="V6" s="21" t="s">
        <v>220</v>
      </c>
      <c r="W6" t="str">
        <f t="shared" si="8"/>
        <v>Wakatakakage, 7-6</v>
      </c>
      <c r="X6">
        <v>1</v>
      </c>
      <c r="Y6">
        <f t="shared" si="9"/>
        <v>11</v>
      </c>
    </row>
    <row r="7" spans="1:27" ht="25">
      <c r="A7" s="1" t="s">
        <v>95</v>
      </c>
      <c r="B7" s="1"/>
      <c r="C7" s="1" t="s">
        <v>31</v>
      </c>
      <c r="D7" s="1" t="s">
        <v>31</v>
      </c>
      <c r="E7" s="1" t="s">
        <v>31</v>
      </c>
      <c r="F7" s="1" t="s">
        <v>31</v>
      </c>
      <c r="G7" s="1">
        <f>_xlfn.XLOOKUP(F7,'rank lookup'!$A$1:$A$21,'rank lookup'!$B$1:$B$21,,0)</f>
        <v>3</v>
      </c>
      <c r="H7" s="1" t="s">
        <v>195</v>
      </c>
      <c r="I7" s="19">
        <v>188</v>
      </c>
      <c r="J7" s="19">
        <v>141</v>
      </c>
      <c r="K7" s="5">
        <f t="shared" si="0"/>
        <v>39.89361702127659</v>
      </c>
      <c r="L7" s="4">
        <f t="shared" si="1"/>
        <v>74.015748031496059</v>
      </c>
      <c r="M7">
        <f t="shared" si="2"/>
        <v>6</v>
      </c>
      <c r="N7">
        <f t="shared" si="3"/>
        <v>2</v>
      </c>
      <c r="O7" t="str">
        <f t="shared" si="4"/>
        <v>6' 2"</v>
      </c>
      <c r="P7">
        <f t="shared" si="5"/>
        <v>311</v>
      </c>
      <c r="Q7">
        <f t="shared" si="6"/>
        <v>12</v>
      </c>
      <c r="R7">
        <f t="shared" si="6"/>
        <v>35</v>
      </c>
      <c r="S7">
        <f t="shared" si="6"/>
        <v>41</v>
      </c>
      <c r="T7">
        <f>_xlfn.XLOOKUP(A7,'January 2023 Data'!$A$4:$A$49,'January 2023 Data'!$H$4:$H$49,,0)</f>
        <v>185</v>
      </c>
      <c r="U7">
        <f t="shared" si="7"/>
        <v>3</v>
      </c>
      <c r="V7" s="22" t="s">
        <v>221</v>
      </c>
      <c r="W7" t="str">
        <f t="shared" si="8"/>
        <v>Hoshoryu, 9-4</v>
      </c>
      <c r="X7">
        <v>2</v>
      </c>
      <c r="Y7">
        <f t="shared" si="9"/>
        <v>2</v>
      </c>
    </row>
    <row r="8" spans="1:27">
      <c r="A8" s="1" t="s">
        <v>102</v>
      </c>
      <c r="B8" s="1"/>
      <c r="C8" s="1" t="s">
        <v>42</v>
      </c>
      <c r="D8" s="1" t="s">
        <v>42</v>
      </c>
      <c r="E8" s="1" t="s">
        <v>42</v>
      </c>
      <c r="F8" s="1" t="s">
        <v>31</v>
      </c>
      <c r="G8" s="1">
        <f>_xlfn.XLOOKUP(F8,'rank lookup'!$A$1:$A$21,'rank lookup'!$B$1:$B$21,,0)</f>
        <v>3</v>
      </c>
      <c r="H8" s="1"/>
      <c r="I8" s="19">
        <v>186</v>
      </c>
      <c r="J8" s="19">
        <v>140</v>
      </c>
      <c r="K8" s="5">
        <f t="shared" si="0"/>
        <v>40.467106023817784</v>
      </c>
      <c r="L8" s="4">
        <f t="shared" si="1"/>
        <v>73.228346456692918</v>
      </c>
      <c r="M8">
        <f t="shared" si="2"/>
        <v>6</v>
      </c>
      <c r="N8">
        <f t="shared" si="3"/>
        <v>1.2</v>
      </c>
      <c r="O8" t="str">
        <f t="shared" si="4"/>
        <v>6' 1.2"</v>
      </c>
      <c r="P8">
        <f t="shared" si="5"/>
        <v>309</v>
      </c>
      <c r="Q8">
        <f t="shared" si="6"/>
        <v>18</v>
      </c>
      <c r="R8">
        <f t="shared" si="6"/>
        <v>36</v>
      </c>
      <c r="S8">
        <f t="shared" si="6"/>
        <v>38</v>
      </c>
      <c r="T8">
        <f>_xlfn.XLOOKUP(A8,'January 2023 Data'!$A$4:$A$49,'January 2023 Data'!$H$4:$H$49,,0)</f>
        <v>185</v>
      </c>
      <c r="U8">
        <f t="shared" si="7"/>
        <v>1</v>
      </c>
      <c r="V8" s="22" t="s">
        <v>222</v>
      </c>
      <c r="W8" t="str">
        <f t="shared" si="8"/>
        <v>Kiribayama, 10-3</v>
      </c>
      <c r="X8">
        <v>3</v>
      </c>
      <c r="Y8">
        <f t="shared" si="9"/>
        <v>1</v>
      </c>
    </row>
    <row r="9" spans="1:27">
      <c r="A9" s="1" t="s">
        <v>94</v>
      </c>
      <c r="B9" s="1"/>
      <c r="C9" s="1" t="s">
        <v>136</v>
      </c>
      <c r="D9" s="1" t="s">
        <v>132</v>
      </c>
      <c r="E9" s="1" t="s">
        <v>42</v>
      </c>
      <c r="F9" s="1" t="s">
        <v>42</v>
      </c>
      <c r="G9" s="1">
        <f>_xlfn.XLOOKUP(F9,'rank lookup'!$A$1:$A$21,'rank lookup'!$B$1:$B$21,,0)</f>
        <v>4</v>
      </c>
      <c r="H9" s="1"/>
      <c r="I9" s="19">
        <v>189</v>
      </c>
      <c r="J9" s="19">
        <v>172</v>
      </c>
      <c r="K9" s="5">
        <f t="shared" si="0"/>
        <v>48.150947621847095</v>
      </c>
      <c r="L9" s="4">
        <f t="shared" si="1"/>
        <v>74.409448818897644</v>
      </c>
      <c r="M9">
        <f t="shared" si="2"/>
        <v>6</v>
      </c>
      <c r="N9">
        <f t="shared" si="3"/>
        <v>2.4</v>
      </c>
      <c r="O9" t="str">
        <f t="shared" si="4"/>
        <v>6' 2.4"</v>
      </c>
      <c r="P9">
        <f t="shared" si="5"/>
        <v>379</v>
      </c>
      <c r="Q9">
        <f t="shared" si="6"/>
        <v>9</v>
      </c>
      <c r="R9">
        <f t="shared" si="6"/>
        <v>12</v>
      </c>
      <c r="S9">
        <f t="shared" si="6"/>
        <v>17</v>
      </c>
      <c r="T9">
        <f>_xlfn.XLOOKUP(A9,'January 2023 Data'!$A$4:$A$49,'January 2023 Data'!$H$4:$H$49,,0)</f>
        <v>189</v>
      </c>
      <c r="U9">
        <f t="shared" si="7"/>
        <v>0</v>
      </c>
      <c r="V9" s="22" t="s">
        <v>221</v>
      </c>
      <c r="W9" t="str">
        <f t="shared" si="8"/>
        <v>Kotonowaka, 9-4</v>
      </c>
      <c r="X9">
        <v>4</v>
      </c>
      <c r="Y9">
        <f t="shared" si="9"/>
        <v>0</v>
      </c>
    </row>
    <row r="10" spans="1:27" ht="25">
      <c r="A10" s="1" t="s">
        <v>100</v>
      </c>
      <c r="B10" s="1"/>
      <c r="C10" s="1" t="s">
        <v>141</v>
      </c>
      <c r="D10" s="1" t="s">
        <v>139</v>
      </c>
      <c r="E10" s="1" t="s">
        <v>42</v>
      </c>
      <c r="F10" s="1" t="s">
        <v>42</v>
      </c>
      <c r="G10" s="1">
        <f>_xlfn.XLOOKUP(F10,'rank lookup'!$A$1:$A$21,'rank lookup'!$B$1:$B$21,,0)</f>
        <v>4</v>
      </c>
      <c r="H10" s="1" t="s">
        <v>198</v>
      </c>
      <c r="I10" s="19">
        <v>187</v>
      </c>
      <c r="J10" s="19">
        <v>143</v>
      </c>
      <c r="K10" s="5">
        <f t="shared" si="0"/>
        <v>40.893362692670649</v>
      </c>
      <c r="L10" s="4">
        <f t="shared" si="1"/>
        <v>73.622047244094489</v>
      </c>
      <c r="M10">
        <f t="shared" si="2"/>
        <v>6</v>
      </c>
      <c r="N10">
        <f t="shared" si="3"/>
        <v>1.6</v>
      </c>
      <c r="O10" t="str">
        <f t="shared" si="4"/>
        <v>6' 1.6"</v>
      </c>
      <c r="P10">
        <f t="shared" si="5"/>
        <v>315</v>
      </c>
      <c r="Q10">
        <f t="shared" si="6"/>
        <v>16</v>
      </c>
      <c r="R10">
        <f t="shared" si="6"/>
        <v>33</v>
      </c>
      <c r="S10">
        <f t="shared" si="6"/>
        <v>37</v>
      </c>
      <c r="T10">
        <f>_xlfn.XLOOKUP(A10,'January 2023 Data'!$A$4:$A$49,'January 2023 Data'!$H$4:$H$49,,0)</f>
        <v>186</v>
      </c>
      <c r="U10">
        <f t="shared" si="7"/>
        <v>1</v>
      </c>
      <c r="V10" s="22" t="s">
        <v>222</v>
      </c>
      <c r="W10" t="str">
        <f t="shared" si="8"/>
        <v>Wakamotoharu, 10-3</v>
      </c>
      <c r="X10">
        <v>5</v>
      </c>
      <c r="Y10">
        <f t="shared" si="9"/>
        <v>0</v>
      </c>
    </row>
    <row r="11" spans="1:27">
      <c r="A11" s="1" t="s">
        <v>112</v>
      </c>
      <c r="B11" s="1">
        <v>1</v>
      </c>
      <c r="C11" s="1" t="s">
        <v>31</v>
      </c>
      <c r="D11" s="1" t="s">
        <v>42</v>
      </c>
      <c r="E11" s="1" t="s">
        <v>132</v>
      </c>
      <c r="F11" s="1" t="s">
        <v>42</v>
      </c>
      <c r="G11" s="1">
        <f>_xlfn.XLOOKUP(F11,'rank lookup'!$A$1:$A$21,'rank lookup'!$B$1:$B$21,,0)</f>
        <v>4</v>
      </c>
      <c r="H11" s="1"/>
      <c r="I11" s="19">
        <v>182</v>
      </c>
      <c r="J11" s="19">
        <v>165</v>
      </c>
      <c r="K11" s="5">
        <f t="shared" si="0"/>
        <v>49.812824538099264</v>
      </c>
      <c r="L11" s="4">
        <f t="shared" si="1"/>
        <v>71.653543307086608</v>
      </c>
      <c r="M11">
        <f t="shared" si="2"/>
        <v>5</v>
      </c>
      <c r="N11">
        <f t="shared" si="3"/>
        <v>11.7</v>
      </c>
      <c r="O11" t="str">
        <f t="shared" si="4"/>
        <v>5' 11.7"</v>
      </c>
      <c r="P11">
        <f t="shared" si="5"/>
        <v>364</v>
      </c>
      <c r="Q11">
        <f t="shared" si="6"/>
        <v>30</v>
      </c>
      <c r="R11">
        <f t="shared" si="6"/>
        <v>16</v>
      </c>
      <c r="S11">
        <f t="shared" si="6"/>
        <v>11</v>
      </c>
      <c r="T11">
        <f>_xlfn.XLOOKUP(A11,'January 2023 Data'!$A$4:$A$49,'January 2023 Data'!$H$4:$H$49,,0)</f>
        <v>182</v>
      </c>
      <c r="U11">
        <f t="shared" si="7"/>
        <v>0</v>
      </c>
      <c r="V11" s="22" t="s">
        <v>223</v>
      </c>
      <c r="W11" t="str">
        <f t="shared" si="8"/>
        <v>Daieisho, 11-2</v>
      </c>
    </row>
    <row r="12" spans="1:27">
      <c r="A12" s="1" t="s">
        <v>124</v>
      </c>
      <c r="B12" s="1"/>
      <c r="C12" s="1" t="s">
        <v>132</v>
      </c>
      <c r="D12" s="1" t="s">
        <v>42</v>
      </c>
      <c r="E12" s="1" t="s">
        <v>132</v>
      </c>
      <c r="F12" s="1" t="s">
        <v>42</v>
      </c>
      <c r="G12" s="1">
        <f>_xlfn.XLOOKUP(F12,'rank lookup'!$A$1:$A$21,'rank lookup'!$B$1:$B$21,,0)</f>
        <v>4</v>
      </c>
      <c r="H12" s="1"/>
      <c r="I12" s="19">
        <v>174</v>
      </c>
      <c r="J12" s="19">
        <v>133</v>
      </c>
      <c r="K12" s="5">
        <f t="shared" si="0"/>
        <v>43.929184832870916</v>
      </c>
      <c r="L12" s="4">
        <f t="shared" si="1"/>
        <v>68.503937007874015</v>
      </c>
      <c r="M12">
        <f t="shared" si="2"/>
        <v>5</v>
      </c>
      <c r="N12">
        <f t="shared" si="3"/>
        <v>8.5</v>
      </c>
      <c r="O12" t="str">
        <f t="shared" si="4"/>
        <v>5' 8.5"</v>
      </c>
      <c r="P12">
        <f t="shared" si="5"/>
        <v>293</v>
      </c>
      <c r="Q12">
        <f t="shared" si="6"/>
        <v>40</v>
      </c>
      <c r="R12">
        <f t="shared" si="6"/>
        <v>39</v>
      </c>
      <c r="S12">
        <f t="shared" si="6"/>
        <v>28</v>
      </c>
      <c r="T12">
        <f>_xlfn.XLOOKUP(A12,'January 2023 Data'!$A$4:$A$49,'January 2023 Data'!$H$4:$H$49,,0)</f>
        <v>174</v>
      </c>
      <c r="U12">
        <f t="shared" si="7"/>
        <v>0</v>
      </c>
      <c r="V12" s="22" t="s">
        <v>224</v>
      </c>
      <c r="W12" t="str">
        <f t="shared" si="8"/>
        <v>Tobizaru, 4-9</v>
      </c>
    </row>
    <row r="13" spans="1:27" ht="25">
      <c r="A13" s="1" t="s">
        <v>109</v>
      </c>
      <c r="B13" s="1">
        <v>1</v>
      </c>
      <c r="C13" s="1" t="s">
        <v>39</v>
      </c>
      <c r="D13" s="1" t="s">
        <v>39</v>
      </c>
      <c r="E13" s="1" t="s">
        <v>31</v>
      </c>
      <c r="F13" s="1" t="s">
        <v>132</v>
      </c>
      <c r="G13" s="1">
        <f>_xlfn.XLOOKUP(F13,'rank lookup'!$A$1:$A$21,'rank lookup'!$B$1:$B$21,,0)</f>
        <v>5</v>
      </c>
      <c r="H13" s="1" t="s">
        <v>199</v>
      </c>
      <c r="I13" s="19">
        <v>184</v>
      </c>
      <c r="J13" s="19">
        <v>160</v>
      </c>
      <c r="K13" s="5">
        <f t="shared" si="0"/>
        <v>47.258979206049148</v>
      </c>
      <c r="L13" s="4">
        <f t="shared" si="1"/>
        <v>72.440944881889763</v>
      </c>
      <c r="M13">
        <f t="shared" si="2"/>
        <v>6</v>
      </c>
      <c r="N13">
        <f t="shared" si="3"/>
        <v>0.4</v>
      </c>
      <c r="O13" t="str">
        <f t="shared" si="4"/>
        <v>6' 0.4"</v>
      </c>
      <c r="P13">
        <f t="shared" si="5"/>
        <v>353</v>
      </c>
      <c r="Q13">
        <f t="shared" si="6"/>
        <v>24</v>
      </c>
      <c r="R13">
        <f t="shared" si="6"/>
        <v>21</v>
      </c>
      <c r="S13">
        <f t="shared" si="6"/>
        <v>20</v>
      </c>
      <c r="T13">
        <f>_xlfn.XLOOKUP(A13,'January 2023 Data'!$A$4:$A$49,'January 2023 Data'!$H$4:$H$49,,0)</f>
        <v>183</v>
      </c>
      <c r="U13">
        <f t="shared" si="7"/>
        <v>1</v>
      </c>
      <c r="V13" s="22" t="s">
        <v>225</v>
      </c>
      <c r="W13" t="str">
        <f t="shared" si="8"/>
        <v>Shodai, 8-5</v>
      </c>
    </row>
    <row r="14" spans="1:27">
      <c r="A14" s="1" t="s">
        <v>92</v>
      </c>
      <c r="B14" s="1">
        <v>2</v>
      </c>
      <c r="C14" s="1" t="s">
        <v>137</v>
      </c>
      <c r="D14" s="1" t="s">
        <v>42</v>
      </c>
      <c r="E14" s="1" t="s">
        <v>136</v>
      </c>
      <c r="F14" s="1" t="s">
        <v>132</v>
      </c>
      <c r="G14" s="1">
        <f>_xlfn.XLOOKUP(F14,'rank lookup'!$A$1:$A$21,'rank lookup'!$B$1:$B$21,,0)</f>
        <v>5</v>
      </c>
      <c r="H14" s="1"/>
      <c r="I14" s="19">
        <v>189</v>
      </c>
      <c r="J14" s="19">
        <v>174</v>
      </c>
      <c r="K14" s="5">
        <f t="shared" si="0"/>
        <v>48.710842361636011</v>
      </c>
      <c r="L14" s="4">
        <f t="shared" si="1"/>
        <v>74.409448818897644</v>
      </c>
      <c r="M14">
        <f t="shared" si="2"/>
        <v>6</v>
      </c>
      <c r="N14">
        <f t="shared" si="3"/>
        <v>2.4</v>
      </c>
      <c r="O14" t="str">
        <f t="shared" si="4"/>
        <v>6' 2.4"</v>
      </c>
      <c r="P14">
        <f t="shared" si="5"/>
        <v>384</v>
      </c>
      <c r="Q14">
        <f t="shared" si="6"/>
        <v>9</v>
      </c>
      <c r="R14">
        <f t="shared" si="6"/>
        <v>10</v>
      </c>
      <c r="S14">
        <f t="shared" si="6"/>
        <v>16</v>
      </c>
      <c r="T14">
        <f>_xlfn.XLOOKUP(A14,'January 2023 Data'!$A$4:$A$49,'January 2023 Data'!$H$4:$H$49,,0)</f>
        <v>189</v>
      </c>
      <c r="U14">
        <f t="shared" si="7"/>
        <v>0</v>
      </c>
      <c r="V14" s="22" t="s">
        <v>226</v>
      </c>
      <c r="W14" t="str">
        <f t="shared" si="8"/>
        <v>Tamawashi, 3-10</v>
      </c>
    </row>
    <row r="15" spans="1:27" ht="25">
      <c r="A15" s="1" t="s">
        <v>93</v>
      </c>
      <c r="B15" s="1">
        <v>1</v>
      </c>
      <c r="C15" s="1" t="s">
        <v>42</v>
      </c>
      <c r="D15" s="1" t="s">
        <v>143</v>
      </c>
      <c r="E15" s="1" t="s">
        <v>137</v>
      </c>
      <c r="F15" s="1" t="s">
        <v>136</v>
      </c>
      <c r="G15" s="1">
        <f>_xlfn.XLOOKUP(F15,'rank lookup'!$A$1:$A$21,'rank lookup'!$B$1:$B$21,,0)</f>
        <v>6</v>
      </c>
      <c r="H15" s="1" t="s">
        <v>200</v>
      </c>
      <c r="I15" s="19">
        <v>186</v>
      </c>
      <c r="J15" s="19">
        <v>156</v>
      </c>
      <c r="K15" s="5">
        <f t="shared" si="0"/>
        <v>45.091918140825534</v>
      </c>
      <c r="L15" s="4">
        <f t="shared" si="1"/>
        <v>73.228346456692918</v>
      </c>
      <c r="M15">
        <f t="shared" si="2"/>
        <v>6</v>
      </c>
      <c r="N15">
        <f t="shared" si="3"/>
        <v>1.2</v>
      </c>
      <c r="O15" t="str">
        <f t="shared" si="4"/>
        <v>6' 1.2"</v>
      </c>
      <c r="P15">
        <f t="shared" si="5"/>
        <v>344</v>
      </c>
      <c r="Q15">
        <f t="shared" si="6"/>
        <v>18</v>
      </c>
      <c r="R15">
        <f t="shared" si="6"/>
        <v>24</v>
      </c>
      <c r="S15">
        <f t="shared" si="6"/>
        <v>23</v>
      </c>
      <c r="T15">
        <f>_xlfn.XLOOKUP(A15,'January 2023 Data'!$A$4:$A$49,'January 2023 Data'!$H$4:$H$49,,0)</f>
        <v>187</v>
      </c>
      <c r="U15">
        <f t="shared" si="7"/>
        <v>-1</v>
      </c>
      <c r="V15" s="22" t="s">
        <v>225</v>
      </c>
      <c r="W15" t="str">
        <f t="shared" si="8"/>
        <v>Abi, 8-5</v>
      </c>
    </row>
    <row r="16" spans="1:27" ht="25">
      <c r="A16" t="s">
        <v>149</v>
      </c>
      <c r="C16" s="1" t="s">
        <v>148</v>
      </c>
      <c r="D16" s="1" t="s">
        <v>141</v>
      </c>
      <c r="E16" s="1" t="s">
        <v>140</v>
      </c>
      <c r="F16" s="1" t="s">
        <v>136</v>
      </c>
      <c r="G16" s="1">
        <f>_xlfn.XLOOKUP(F16,'rank lookup'!$A$1:$A$21,'rank lookup'!$B$1:$B$21,,0)</f>
        <v>6</v>
      </c>
      <c r="H16" s="1" t="s">
        <v>201</v>
      </c>
      <c r="I16" s="20">
        <v>188</v>
      </c>
      <c r="J16" s="19">
        <v>154</v>
      </c>
      <c r="K16" s="5">
        <f t="shared" si="0"/>
        <v>43.571751923947488</v>
      </c>
      <c r="L16" s="4">
        <f t="shared" si="1"/>
        <v>74.015748031496059</v>
      </c>
      <c r="M16">
        <f t="shared" si="2"/>
        <v>6</v>
      </c>
      <c r="N16">
        <f t="shared" si="3"/>
        <v>2</v>
      </c>
      <c r="O16" t="str">
        <f t="shared" si="4"/>
        <v>6' 2"</v>
      </c>
      <c r="P16">
        <f t="shared" si="5"/>
        <v>340</v>
      </c>
      <c r="Q16">
        <f t="shared" si="6"/>
        <v>12</v>
      </c>
      <c r="R16">
        <f t="shared" si="6"/>
        <v>27</v>
      </c>
      <c r="S16">
        <f t="shared" si="6"/>
        <v>29</v>
      </c>
      <c r="T16">
        <f>_xlfn.XLOOKUP(A16,'January 2023 Data'!$A$4:$A$49,'January 2023 Data'!$H$4:$H$49,,0)</f>
        <v>187</v>
      </c>
      <c r="U16">
        <f t="shared" si="7"/>
        <v>1</v>
      </c>
      <c r="V16" s="22" t="s">
        <v>227</v>
      </c>
      <c r="W16" t="str">
        <f t="shared" si="8"/>
        <v>Ryuden, 8-12</v>
      </c>
    </row>
    <row r="17" spans="1:23">
      <c r="A17" s="1" t="s">
        <v>116</v>
      </c>
      <c r="B17" s="1">
        <v>2</v>
      </c>
      <c r="C17" s="1" t="s">
        <v>39</v>
      </c>
      <c r="D17" s="1" t="s">
        <v>31</v>
      </c>
      <c r="E17" s="1" t="s">
        <v>136</v>
      </c>
      <c r="F17" s="1" t="s">
        <v>137</v>
      </c>
      <c r="G17" s="1">
        <f>_xlfn.XLOOKUP(F17,'rank lookup'!$A$1:$A$21,'rank lookup'!$B$1:$B$21,,0)</f>
        <v>7</v>
      </c>
      <c r="H17" s="1"/>
      <c r="I17" s="19">
        <v>179</v>
      </c>
      <c r="J17" s="19">
        <v>170</v>
      </c>
      <c r="K17" s="5">
        <f t="shared" si="0"/>
        <v>53.057020692238069</v>
      </c>
      <c r="L17" s="4">
        <f t="shared" si="1"/>
        <v>70.472440944881896</v>
      </c>
      <c r="M17">
        <f t="shared" si="2"/>
        <v>5</v>
      </c>
      <c r="N17">
        <f t="shared" si="3"/>
        <v>10.5</v>
      </c>
      <c r="O17" t="str">
        <f t="shared" si="4"/>
        <v>5' 10.5"</v>
      </c>
      <c r="P17">
        <f t="shared" si="5"/>
        <v>375</v>
      </c>
      <c r="Q17">
        <f t="shared" si="6"/>
        <v>34</v>
      </c>
      <c r="R17">
        <f t="shared" si="6"/>
        <v>15</v>
      </c>
      <c r="S17">
        <f t="shared" si="6"/>
        <v>6</v>
      </c>
      <c r="T17">
        <f>_xlfn.XLOOKUP(A17,'January 2023 Data'!$A$4:$A$49,'January 2023 Data'!$H$4:$H$49,,0)</f>
        <v>179</v>
      </c>
      <c r="U17">
        <f t="shared" si="7"/>
        <v>0</v>
      </c>
      <c r="V17" s="22" t="s">
        <v>224</v>
      </c>
      <c r="W17" t="str">
        <f t="shared" si="8"/>
        <v>Mitakeumi, 4-9</v>
      </c>
    </row>
    <row r="18" spans="1:23" ht="25">
      <c r="A18" s="1" t="s">
        <v>138</v>
      </c>
      <c r="C18" s="1" t="s">
        <v>139</v>
      </c>
      <c r="D18" s="1" t="s">
        <v>141</v>
      </c>
      <c r="E18" s="1" t="s">
        <v>140</v>
      </c>
      <c r="F18" s="1" t="s">
        <v>137</v>
      </c>
      <c r="G18" s="1">
        <f>_xlfn.XLOOKUP(F18,'rank lookup'!$A$1:$A$21,'rank lookup'!$B$1:$B$21,,0)</f>
        <v>7</v>
      </c>
      <c r="H18" s="1" t="s">
        <v>202</v>
      </c>
      <c r="I18" s="19">
        <v>185</v>
      </c>
      <c r="J18" s="19">
        <v>176</v>
      </c>
      <c r="K18" s="5">
        <f t="shared" si="0"/>
        <v>51.424397370343314</v>
      </c>
      <c r="L18" s="4">
        <f t="shared" si="1"/>
        <v>72.834645669291348</v>
      </c>
      <c r="M18">
        <f t="shared" si="2"/>
        <v>6</v>
      </c>
      <c r="N18">
        <f t="shared" si="3"/>
        <v>0.8</v>
      </c>
      <c r="O18" t="str">
        <f t="shared" si="4"/>
        <v>6' 0.8"</v>
      </c>
      <c r="P18">
        <f t="shared" si="5"/>
        <v>388</v>
      </c>
      <c r="Q18">
        <f t="shared" si="6"/>
        <v>21</v>
      </c>
      <c r="R18">
        <f t="shared" si="6"/>
        <v>9</v>
      </c>
      <c r="S18">
        <f t="shared" si="6"/>
        <v>9</v>
      </c>
      <c r="T18">
        <f>_xlfn.XLOOKUP(A18,'January 2023 Data'!$A$4:$A$49,'January 2023 Data'!$H$4:$H$49,,0)</f>
        <v>184</v>
      </c>
      <c r="U18">
        <f t="shared" si="7"/>
        <v>1</v>
      </c>
      <c r="V18" s="22" t="s">
        <v>224</v>
      </c>
      <c r="W18" t="str">
        <f t="shared" si="8"/>
        <v>Nishikigi, 4-9</v>
      </c>
    </row>
    <row r="19" spans="1:23">
      <c r="A19" s="1" t="s">
        <v>117</v>
      </c>
      <c r="B19" s="1"/>
      <c r="C19" s="1" t="s">
        <v>136</v>
      </c>
      <c r="D19" s="1" t="s">
        <v>136</v>
      </c>
      <c r="E19" s="1" t="s">
        <v>42</v>
      </c>
      <c r="F19" s="1" t="s">
        <v>139</v>
      </c>
      <c r="G19" s="1">
        <f>_xlfn.XLOOKUP(F19,'rank lookup'!$A$1:$A$21,'rank lookup'!$B$1:$B$21,,0)</f>
        <v>8</v>
      </c>
      <c r="H19" s="1"/>
      <c r="I19" s="19">
        <v>180</v>
      </c>
      <c r="J19" s="19">
        <v>154</v>
      </c>
      <c r="K19" s="5">
        <f t="shared" si="0"/>
        <v>47.530864197530867</v>
      </c>
      <c r="L19" s="4">
        <f t="shared" si="1"/>
        <v>70.866141732283467</v>
      </c>
      <c r="M19">
        <f t="shared" si="2"/>
        <v>5</v>
      </c>
      <c r="N19">
        <f t="shared" si="3"/>
        <v>10.9</v>
      </c>
      <c r="O19" t="str">
        <f t="shared" si="4"/>
        <v>5' 10.9"</v>
      </c>
      <c r="P19">
        <f t="shared" si="5"/>
        <v>340</v>
      </c>
      <c r="Q19">
        <f t="shared" si="6"/>
        <v>33</v>
      </c>
      <c r="R19">
        <f t="shared" si="6"/>
        <v>27</v>
      </c>
      <c r="S19">
        <f t="shared" si="6"/>
        <v>19</v>
      </c>
      <c r="T19">
        <f>_xlfn.XLOOKUP(A19,'January 2023 Data'!$A$4:$A$49,'January 2023 Data'!$H$4:$H$49,,0)</f>
        <v>180</v>
      </c>
      <c r="U19">
        <f t="shared" si="7"/>
        <v>0</v>
      </c>
      <c r="V19" s="22" t="s">
        <v>224</v>
      </c>
      <c r="W19" t="str">
        <f t="shared" si="8"/>
        <v>Meisei, 4-9</v>
      </c>
    </row>
    <row r="20" spans="1:23" ht="25">
      <c r="A20" s="1" t="s">
        <v>120</v>
      </c>
      <c r="B20" s="1"/>
      <c r="C20" s="1" t="s">
        <v>135</v>
      </c>
      <c r="D20" s="1" t="s">
        <v>147</v>
      </c>
      <c r="E20" s="1" t="s">
        <v>142</v>
      </c>
      <c r="F20" s="1" t="s">
        <v>139</v>
      </c>
      <c r="G20" s="1">
        <f>_xlfn.XLOOKUP(F20,'rank lookup'!$A$1:$A$21,'rank lookup'!$B$1:$B$21,,0)</f>
        <v>8</v>
      </c>
      <c r="H20" s="1" t="s">
        <v>203</v>
      </c>
      <c r="I20" s="19">
        <v>177</v>
      </c>
      <c r="J20" s="19">
        <v>164</v>
      </c>
      <c r="K20" s="5">
        <f t="shared" si="0"/>
        <v>52.347665102620574</v>
      </c>
      <c r="L20" s="4">
        <f t="shared" si="1"/>
        <v>69.685039370078741</v>
      </c>
      <c r="M20">
        <f t="shared" si="2"/>
        <v>5</v>
      </c>
      <c r="N20">
        <f t="shared" si="3"/>
        <v>9.6999999999999993</v>
      </c>
      <c r="O20" t="str">
        <f t="shared" si="4"/>
        <v>5' 9.7"</v>
      </c>
      <c r="P20">
        <f t="shared" si="5"/>
        <v>362</v>
      </c>
      <c r="Q20">
        <f t="shared" si="6"/>
        <v>35</v>
      </c>
      <c r="R20">
        <f t="shared" si="6"/>
        <v>19</v>
      </c>
      <c r="S20">
        <f t="shared" si="6"/>
        <v>7</v>
      </c>
      <c r="T20">
        <f>_xlfn.XLOOKUP(A20,'January 2023 Data'!$A$4:$A$49,'January 2023 Data'!$H$4:$H$49,,0)</f>
        <v>178</v>
      </c>
      <c r="U20">
        <f t="shared" si="7"/>
        <v>-1</v>
      </c>
      <c r="V20" t="s">
        <v>218</v>
      </c>
      <c r="W20" t="str">
        <f t="shared" si="8"/>
        <v>Onosho, OUT</v>
      </c>
    </row>
    <row r="21" spans="1:23">
      <c r="A21" s="1" t="s">
        <v>133</v>
      </c>
      <c r="C21" t="s">
        <v>132</v>
      </c>
      <c r="D21" s="1" t="s">
        <v>137</v>
      </c>
      <c r="E21" s="1" t="s">
        <v>137</v>
      </c>
      <c r="F21" s="1" t="s">
        <v>140</v>
      </c>
      <c r="G21" s="1">
        <f>_xlfn.XLOOKUP(F21,'rank lookup'!$A$1:$A$21,'rank lookup'!$B$1:$B$21,,0)</f>
        <v>9</v>
      </c>
      <c r="H21" s="1"/>
      <c r="I21" s="19">
        <v>171</v>
      </c>
      <c r="J21" s="19">
        <v>117</v>
      </c>
      <c r="K21" s="5">
        <f t="shared" si="0"/>
        <v>40.012311480455523</v>
      </c>
      <c r="L21" s="4">
        <f t="shared" si="1"/>
        <v>67.322834645669289</v>
      </c>
      <c r="M21">
        <f t="shared" si="2"/>
        <v>5</v>
      </c>
      <c r="N21">
        <f t="shared" si="3"/>
        <v>7.3</v>
      </c>
      <c r="O21" t="str">
        <f t="shared" si="4"/>
        <v>5' 7.3"</v>
      </c>
      <c r="P21">
        <f t="shared" si="5"/>
        <v>258</v>
      </c>
      <c r="Q21">
        <f t="shared" si="6"/>
        <v>41</v>
      </c>
      <c r="R21">
        <f t="shared" si="6"/>
        <v>42</v>
      </c>
      <c r="S21">
        <f t="shared" si="6"/>
        <v>40</v>
      </c>
      <c r="T21">
        <f>_xlfn.XLOOKUP(A21,'January 2023 Data'!$A$4:$A$49,'January 2023 Data'!$H$4:$H$49,,0)</f>
        <v>171</v>
      </c>
      <c r="U21">
        <f t="shared" si="7"/>
        <v>0</v>
      </c>
      <c r="V21" s="22" t="s">
        <v>222</v>
      </c>
      <c r="W21" t="str">
        <f t="shared" si="8"/>
        <v>Midorifuji, 10-3</v>
      </c>
    </row>
    <row r="22" spans="1:23" ht="25">
      <c r="A22" t="s">
        <v>146</v>
      </c>
      <c r="C22" s="1" t="s">
        <v>147</v>
      </c>
      <c r="D22" s="1" t="s">
        <v>147</v>
      </c>
      <c r="E22" s="1" t="s">
        <v>150</v>
      </c>
      <c r="F22" s="1" t="s">
        <v>140</v>
      </c>
      <c r="G22" s="1">
        <f>_xlfn.XLOOKUP(F22,'rank lookup'!$A$1:$A$21,'rank lookup'!$B$1:$B$21,,0)</f>
        <v>9</v>
      </c>
      <c r="H22" s="1" t="s">
        <v>204</v>
      </c>
      <c r="I22" s="19">
        <v>191</v>
      </c>
      <c r="J22" s="19">
        <v>163</v>
      </c>
      <c r="K22" s="5">
        <f t="shared" si="0"/>
        <v>44.680792741427041</v>
      </c>
      <c r="L22" s="4">
        <f t="shared" si="1"/>
        <v>75.196850393700785</v>
      </c>
      <c r="M22">
        <f t="shared" si="2"/>
        <v>6</v>
      </c>
      <c r="N22">
        <f t="shared" si="3"/>
        <v>3.2</v>
      </c>
      <c r="O22" t="str">
        <f t="shared" si="4"/>
        <v>6' 3.2"</v>
      </c>
      <c r="P22">
        <f t="shared" si="5"/>
        <v>359</v>
      </c>
      <c r="Q22">
        <f t="shared" si="6"/>
        <v>6</v>
      </c>
      <c r="R22">
        <f t="shared" si="6"/>
        <v>20</v>
      </c>
      <c r="S22">
        <f t="shared" si="6"/>
        <v>24</v>
      </c>
      <c r="T22">
        <f>_xlfn.XLOOKUP(A22,'January 2023 Data'!$A$4:$A$49,'January 2023 Data'!$H$4:$H$49,,0)</f>
        <v>189</v>
      </c>
      <c r="U22">
        <f t="shared" si="7"/>
        <v>2</v>
      </c>
      <c r="V22" s="22" t="s">
        <v>228</v>
      </c>
      <c r="W22" t="str">
        <f t="shared" si="8"/>
        <v>Kotoshoho, 5-8</v>
      </c>
    </row>
    <row r="23" spans="1:23">
      <c r="A23" s="1" t="s">
        <v>111</v>
      </c>
      <c r="B23" s="1"/>
      <c r="C23" s="1" t="s">
        <v>140</v>
      </c>
      <c r="D23" s="1" t="s">
        <v>139</v>
      </c>
      <c r="E23" s="1" t="s">
        <v>139</v>
      </c>
      <c r="F23" s="1" t="s">
        <v>141</v>
      </c>
      <c r="G23" s="1">
        <f>_xlfn.XLOOKUP(F23,'rank lookup'!$A$1:$A$21,'rank lookup'!$B$1:$B$21,,0)</f>
        <v>10</v>
      </c>
      <c r="H23" s="1"/>
      <c r="I23" s="19">
        <v>182</v>
      </c>
      <c r="J23" s="19">
        <v>142</v>
      </c>
      <c r="K23" s="5">
        <f t="shared" si="0"/>
        <v>42.869218693394522</v>
      </c>
      <c r="L23" s="4">
        <f t="shared" si="1"/>
        <v>71.653543307086608</v>
      </c>
      <c r="M23">
        <f t="shared" si="2"/>
        <v>5</v>
      </c>
      <c r="N23">
        <f t="shared" si="3"/>
        <v>11.7</v>
      </c>
      <c r="O23" t="str">
        <f t="shared" si="4"/>
        <v>5' 11.7"</v>
      </c>
      <c r="P23">
        <f t="shared" si="5"/>
        <v>313</v>
      </c>
      <c r="Q23">
        <f t="shared" si="6"/>
        <v>30</v>
      </c>
      <c r="R23">
        <f t="shared" si="6"/>
        <v>34</v>
      </c>
      <c r="S23">
        <f t="shared" si="6"/>
        <v>32</v>
      </c>
      <c r="T23">
        <f>_xlfn.XLOOKUP(A23,'January 2023 Data'!$A$4:$A$49,'January 2023 Data'!$H$4:$H$49,,0)</f>
        <v>182</v>
      </c>
      <c r="U23">
        <f t="shared" si="7"/>
        <v>0</v>
      </c>
      <c r="V23" s="22" t="s">
        <v>228</v>
      </c>
      <c r="W23" t="str">
        <f t="shared" si="8"/>
        <v>Sadanoumi, 5-8</v>
      </c>
    </row>
    <row r="24" spans="1:23" ht="25">
      <c r="A24" s="1" t="s">
        <v>99</v>
      </c>
      <c r="B24" s="1"/>
      <c r="C24" s="1" t="s">
        <v>141</v>
      </c>
      <c r="D24" s="1" t="s">
        <v>135</v>
      </c>
      <c r="E24" s="1" t="s">
        <v>143</v>
      </c>
      <c r="F24" s="1" t="s">
        <v>141</v>
      </c>
      <c r="G24" s="1">
        <f>_xlfn.XLOOKUP(F24,'rank lookup'!$A$1:$A$21,'rank lookup'!$B$1:$B$21,,0)</f>
        <v>10</v>
      </c>
      <c r="H24" s="1" t="s">
        <v>205</v>
      </c>
      <c r="I24" s="19">
        <v>184</v>
      </c>
      <c r="J24" s="19">
        <v>150</v>
      </c>
      <c r="K24" s="5">
        <f t="shared" si="0"/>
        <v>44.305293005671075</v>
      </c>
      <c r="L24" s="4">
        <f t="shared" si="1"/>
        <v>72.440944881889763</v>
      </c>
      <c r="M24">
        <f t="shared" si="2"/>
        <v>6</v>
      </c>
      <c r="N24">
        <f t="shared" si="3"/>
        <v>0.4</v>
      </c>
      <c r="O24" t="str">
        <f t="shared" si="4"/>
        <v>6' 0.4"</v>
      </c>
      <c r="P24">
        <f t="shared" si="5"/>
        <v>331</v>
      </c>
      <c r="Q24">
        <f t="shared" si="6"/>
        <v>24</v>
      </c>
      <c r="R24">
        <f t="shared" si="6"/>
        <v>29</v>
      </c>
      <c r="S24">
        <f t="shared" si="6"/>
        <v>25</v>
      </c>
      <c r="T24">
        <f>_xlfn.XLOOKUP(A24,'January 2023 Data'!$A$4:$A$49,'January 2023 Data'!$H$4:$H$49,,0)</f>
        <v>183</v>
      </c>
      <c r="U24">
        <f t="shared" si="7"/>
        <v>1</v>
      </c>
      <c r="V24" s="22" t="s">
        <v>225</v>
      </c>
      <c r="W24" t="str">
        <f t="shared" si="8"/>
        <v>Endo, 8-5</v>
      </c>
    </row>
    <row r="25" spans="1:23" ht="25">
      <c r="A25" s="1" t="s">
        <v>96</v>
      </c>
      <c r="B25" s="1"/>
      <c r="C25" s="1" t="s">
        <v>139</v>
      </c>
      <c r="D25" s="1" t="s">
        <v>132</v>
      </c>
      <c r="E25" s="1" t="s">
        <v>31</v>
      </c>
      <c r="F25" s="1" t="s">
        <v>135</v>
      </c>
      <c r="G25" s="1">
        <f>_xlfn.XLOOKUP(F25,'rank lookup'!$A$1:$A$21,'rank lookup'!$B$1:$B$21,,0)</f>
        <v>11</v>
      </c>
      <c r="H25" s="1" t="s">
        <v>206</v>
      </c>
      <c r="I25" s="19">
        <v>188</v>
      </c>
      <c r="J25" s="19">
        <v>177</v>
      </c>
      <c r="K25" s="5">
        <f t="shared" si="0"/>
        <v>50.079221367134451</v>
      </c>
      <c r="L25" s="4">
        <f t="shared" si="1"/>
        <v>74.015748031496059</v>
      </c>
      <c r="M25">
        <f t="shared" si="2"/>
        <v>6</v>
      </c>
      <c r="N25">
        <f t="shared" si="3"/>
        <v>2</v>
      </c>
      <c r="O25" t="str">
        <f t="shared" si="4"/>
        <v>6' 2"</v>
      </c>
      <c r="P25">
        <f t="shared" si="5"/>
        <v>390</v>
      </c>
      <c r="Q25">
        <f t="shared" si="6"/>
        <v>12</v>
      </c>
      <c r="R25">
        <f t="shared" si="6"/>
        <v>7</v>
      </c>
      <c r="S25">
        <f t="shared" si="6"/>
        <v>10</v>
      </c>
      <c r="T25">
        <f>_xlfn.XLOOKUP(A25,'January 2023 Data'!$A$4:$A$49,'January 2023 Data'!$H$4:$H$49,,0)</f>
        <v>186</v>
      </c>
      <c r="U25">
        <f t="shared" si="7"/>
        <v>2</v>
      </c>
      <c r="V25" s="22" t="s">
        <v>225</v>
      </c>
      <c r="W25" t="str">
        <f t="shared" si="8"/>
        <v>Takayasu, 8-5</v>
      </c>
    </row>
    <row r="26" spans="1:23">
      <c r="A26" s="1" t="s">
        <v>103</v>
      </c>
      <c r="B26" s="1"/>
      <c r="C26" s="1" t="s">
        <v>142</v>
      </c>
      <c r="D26" s="1" t="s">
        <v>140</v>
      </c>
      <c r="E26" s="1" t="s">
        <v>141</v>
      </c>
      <c r="F26" s="1" t="s">
        <v>135</v>
      </c>
      <c r="G26" s="1">
        <f>_xlfn.XLOOKUP(F26,'rank lookup'!$A$1:$A$21,'rank lookup'!$B$1:$B$21,,0)</f>
        <v>11</v>
      </c>
      <c r="H26" s="1"/>
      <c r="I26" s="19">
        <v>184</v>
      </c>
      <c r="J26" s="19">
        <v>159</v>
      </c>
      <c r="K26" s="5">
        <f t="shared" si="0"/>
        <v>46.963610586011342</v>
      </c>
      <c r="L26" s="4">
        <f t="shared" si="1"/>
        <v>72.440944881889763</v>
      </c>
      <c r="M26">
        <f t="shared" si="2"/>
        <v>6</v>
      </c>
      <c r="N26">
        <f t="shared" si="3"/>
        <v>0.4</v>
      </c>
      <c r="O26" t="str">
        <f t="shared" si="4"/>
        <v>6' 0.4"</v>
      </c>
      <c r="P26">
        <f t="shared" si="5"/>
        <v>351</v>
      </c>
      <c r="Q26">
        <f t="shared" si="6"/>
        <v>24</v>
      </c>
      <c r="R26">
        <f t="shared" si="6"/>
        <v>22</v>
      </c>
      <c r="S26">
        <f t="shared" si="6"/>
        <v>22</v>
      </c>
      <c r="T26">
        <f>_xlfn.XLOOKUP(A26,'January 2023 Data'!$A$4:$A$49,'January 2023 Data'!$H$4:$H$49,,0)</f>
        <v>184</v>
      </c>
      <c r="U26">
        <f t="shared" si="7"/>
        <v>0</v>
      </c>
      <c r="V26" s="22" t="s">
        <v>220</v>
      </c>
      <c r="W26" t="str">
        <f t="shared" si="8"/>
        <v>Hokutofuji, 7-6</v>
      </c>
    </row>
    <row r="27" spans="1:23">
      <c r="A27" s="1" t="s">
        <v>121</v>
      </c>
      <c r="B27" s="1"/>
      <c r="C27" s="1" t="s">
        <v>137</v>
      </c>
      <c r="D27" s="1" t="s">
        <v>137</v>
      </c>
      <c r="E27" s="1" t="s">
        <v>135</v>
      </c>
      <c r="F27" s="1" t="s">
        <v>142</v>
      </c>
      <c r="G27" s="1">
        <f>_xlfn.XLOOKUP(F27,'rank lookup'!$A$1:$A$21,'rank lookup'!$B$1:$B$21,,0)</f>
        <v>12</v>
      </c>
      <c r="H27" s="1"/>
      <c r="I27" s="19">
        <v>175</v>
      </c>
      <c r="J27" s="19">
        <v>146</v>
      </c>
      <c r="K27" s="5">
        <f t="shared" si="0"/>
        <v>47.673469387755098</v>
      </c>
      <c r="L27" s="4">
        <f t="shared" si="1"/>
        <v>68.897637795275585</v>
      </c>
      <c r="M27">
        <f t="shared" si="2"/>
        <v>5</v>
      </c>
      <c r="N27">
        <f t="shared" si="3"/>
        <v>8.9</v>
      </c>
      <c r="O27" t="str">
        <f t="shared" si="4"/>
        <v>5' 8.9"</v>
      </c>
      <c r="P27">
        <f t="shared" si="5"/>
        <v>322</v>
      </c>
      <c r="Q27">
        <f t="shared" si="6"/>
        <v>38</v>
      </c>
      <c r="R27">
        <f t="shared" si="6"/>
        <v>31</v>
      </c>
      <c r="S27">
        <f t="shared" si="6"/>
        <v>18</v>
      </c>
      <c r="T27">
        <f>_xlfn.XLOOKUP(A27,'January 2023 Data'!$A$4:$A$49,'January 2023 Data'!$H$4:$H$49,,0)</f>
        <v>175</v>
      </c>
      <c r="U27">
        <f t="shared" si="7"/>
        <v>0</v>
      </c>
      <c r="V27" s="22" t="s">
        <v>220</v>
      </c>
      <c r="W27" t="str">
        <f t="shared" si="8"/>
        <v>Ura, 7-6</v>
      </c>
    </row>
    <row r="28" spans="1:23">
      <c r="A28" s="1" t="s">
        <v>98</v>
      </c>
      <c r="B28" s="1"/>
      <c r="C28" s="1" t="s">
        <v>150</v>
      </c>
      <c r="D28" s="1" t="s">
        <v>151</v>
      </c>
      <c r="E28" s="1" t="s">
        <v>151</v>
      </c>
      <c r="F28" s="1" t="s">
        <v>142</v>
      </c>
      <c r="G28" s="1">
        <f>_xlfn.XLOOKUP(F28,'rank lookup'!$A$1:$A$21,'rank lookup'!$B$1:$B$21,,0)</f>
        <v>12</v>
      </c>
      <c r="H28" s="1"/>
      <c r="I28" s="19">
        <v>187</v>
      </c>
      <c r="J28" s="19">
        <v>146</v>
      </c>
      <c r="K28" s="5">
        <f t="shared" si="0"/>
        <v>41.751265406502903</v>
      </c>
      <c r="L28" s="4">
        <f t="shared" si="1"/>
        <v>73.622047244094489</v>
      </c>
      <c r="M28">
        <f t="shared" si="2"/>
        <v>6</v>
      </c>
      <c r="N28">
        <f t="shared" si="3"/>
        <v>1.6</v>
      </c>
      <c r="O28" t="str">
        <f t="shared" si="4"/>
        <v>6' 1.6"</v>
      </c>
      <c r="P28">
        <f t="shared" si="5"/>
        <v>322</v>
      </c>
      <c r="Q28">
        <f t="shared" si="6"/>
        <v>16</v>
      </c>
      <c r="R28">
        <f t="shared" si="6"/>
        <v>31</v>
      </c>
      <c r="S28">
        <f t="shared" si="6"/>
        <v>35</v>
      </c>
      <c r="T28">
        <f>_xlfn.XLOOKUP(A28,'January 2023 Data'!$A$4:$A$49,'January 2023 Data'!$H$4:$H$49,,0)</f>
        <v>187</v>
      </c>
      <c r="U28">
        <f t="shared" si="7"/>
        <v>0</v>
      </c>
      <c r="V28" s="22" t="s">
        <v>224</v>
      </c>
      <c r="W28" t="str">
        <f t="shared" si="8"/>
        <v>Ichiyamamoto, 4-9</v>
      </c>
    </row>
    <row r="29" spans="1:23" ht="25">
      <c r="A29" s="1" t="s">
        <v>91</v>
      </c>
      <c r="B29" s="1"/>
      <c r="C29" s="1" t="s">
        <v>135</v>
      </c>
      <c r="D29" s="1" t="s">
        <v>145</v>
      </c>
      <c r="E29" s="1" t="s">
        <v>145</v>
      </c>
      <c r="F29" s="1" t="s">
        <v>143</v>
      </c>
      <c r="G29" s="1">
        <f>_xlfn.XLOOKUP(F29,'rank lookup'!$A$1:$A$21,'rank lookup'!$B$1:$B$21,,0)</f>
        <v>13</v>
      </c>
      <c r="H29" s="1" t="s">
        <v>208</v>
      </c>
      <c r="I29" s="19">
        <v>191</v>
      </c>
      <c r="J29" s="19">
        <v>189</v>
      </c>
      <c r="K29" s="5">
        <f t="shared" si="0"/>
        <v>51.80779035662399</v>
      </c>
      <c r="L29" s="4">
        <f t="shared" si="1"/>
        <v>75.196850393700785</v>
      </c>
      <c r="M29">
        <f t="shared" si="2"/>
        <v>6</v>
      </c>
      <c r="N29">
        <f t="shared" si="3"/>
        <v>3.2</v>
      </c>
      <c r="O29" t="str">
        <f t="shared" si="4"/>
        <v>6' 3.2"</v>
      </c>
      <c r="P29">
        <f t="shared" si="5"/>
        <v>417</v>
      </c>
      <c r="Q29">
        <f t="shared" si="6"/>
        <v>6</v>
      </c>
      <c r="R29">
        <f t="shared" si="6"/>
        <v>3</v>
      </c>
      <c r="S29">
        <f t="shared" si="6"/>
        <v>8</v>
      </c>
      <c r="T29">
        <f>_xlfn.XLOOKUP(A29,'January 2023 Data'!$A$4:$A$49,'January 2023 Data'!$H$4:$H$49,,0)</f>
        <v>190</v>
      </c>
      <c r="U29">
        <f t="shared" si="7"/>
        <v>1</v>
      </c>
      <c r="V29" s="22" t="s">
        <v>228</v>
      </c>
      <c r="W29" t="str">
        <f t="shared" si="8"/>
        <v>Aoiyama, 5-8</v>
      </c>
    </row>
    <row r="30" spans="1:23" ht="25">
      <c r="A30" t="s">
        <v>155</v>
      </c>
      <c r="C30" s="1" t="s">
        <v>154</v>
      </c>
      <c r="D30" s="1" t="s">
        <v>154</v>
      </c>
      <c r="E30" s="1" t="s">
        <v>145</v>
      </c>
      <c r="F30" s="1" t="s">
        <v>143</v>
      </c>
      <c r="G30" s="1">
        <f>_xlfn.XLOOKUP(F30,'rank lookup'!$A$1:$A$21,'rank lookup'!$B$1:$B$21,,0)</f>
        <v>13</v>
      </c>
      <c r="H30" s="1" t="s">
        <v>203</v>
      </c>
      <c r="I30" s="19">
        <v>177</v>
      </c>
      <c r="J30" s="19">
        <v>135</v>
      </c>
      <c r="K30" s="5">
        <f t="shared" si="0"/>
        <v>43.091065785693765</v>
      </c>
      <c r="L30" s="4">
        <f t="shared" si="1"/>
        <v>69.685039370078741</v>
      </c>
      <c r="M30">
        <f t="shared" si="2"/>
        <v>5</v>
      </c>
      <c r="N30">
        <f t="shared" si="3"/>
        <v>9.6999999999999993</v>
      </c>
      <c r="O30" t="str">
        <f t="shared" si="4"/>
        <v>5' 9.7"</v>
      </c>
      <c r="P30">
        <f t="shared" si="5"/>
        <v>298</v>
      </c>
      <c r="Q30">
        <f t="shared" si="6"/>
        <v>35</v>
      </c>
      <c r="R30">
        <f t="shared" si="6"/>
        <v>38</v>
      </c>
      <c r="S30">
        <f t="shared" si="6"/>
        <v>31</v>
      </c>
      <c r="T30">
        <f>_xlfn.XLOOKUP(A30,'January 2023 Data'!$A$4:$A$49,'January 2023 Data'!$H$4:$H$49,,0)</f>
        <v>178</v>
      </c>
      <c r="U30">
        <f t="shared" si="7"/>
        <v>-1</v>
      </c>
      <c r="V30" s="22" t="s">
        <v>229</v>
      </c>
      <c r="W30" t="str">
        <f t="shared" si="8"/>
        <v>Hiradoumi, 6-7</v>
      </c>
    </row>
    <row r="31" spans="1:23">
      <c r="A31" t="s">
        <v>144</v>
      </c>
      <c r="C31" s="1" t="s">
        <v>145</v>
      </c>
      <c r="D31" s="1" t="s">
        <v>140</v>
      </c>
      <c r="E31" s="1" t="s">
        <v>139</v>
      </c>
      <c r="F31" s="1" t="s">
        <v>145</v>
      </c>
      <c r="G31" s="1">
        <f>_xlfn.XLOOKUP(F31,'rank lookup'!$A$1:$A$21,'rank lookup'!$B$1:$B$21,,0)</f>
        <v>14</v>
      </c>
      <c r="H31" s="1"/>
      <c r="I31" s="19">
        <v>184</v>
      </c>
      <c r="J31" s="19">
        <v>150</v>
      </c>
      <c r="K31" s="5">
        <f t="shared" si="0"/>
        <v>44.305293005671075</v>
      </c>
      <c r="L31" s="4">
        <f t="shared" si="1"/>
        <v>72.440944881889763</v>
      </c>
      <c r="M31">
        <f t="shared" si="2"/>
        <v>6</v>
      </c>
      <c r="N31">
        <f t="shared" si="3"/>
        <v>0.4</v>
      </c>
      <c r="O31" t="str">
        <f t="shared" si="4"/>
        <v>6' 0.4"</v>
      </c>
      <c r="P31">
        <f t="shared" si="5"/>
        <v>331</v>
      </c>
      <c r="Q31">
        <f t="shared" si="6"/>
        <v>24</v>
      </c>
      <c r="R31">
        <f t="shared" si="6"/>
        <v>29</v>
      </c>
      <c r="S31">
        <f t="shared" si="6"/>
        <v>25</v>
      </c>
      <c r="T31">
        <f>_xlfn.XLOOKUP(A31,'January 2023 Data'!$A$4:$A$49,'January 2023 Data'!$H$4:$H$49,,0)</f>
        <v>184</v>
      </c>
      <c r="U31">
        <f t="shared" si="7"/>
        <v>0</v>
      </c>
      <c r="V31" s="22" t="s">
        <v>225</v>
      </c>
      <c r="W31" t="str">
        <f t="shared" si="8"/>
        <v>Nishikifuji, 8-5</v>
      </c>
    </row>
    <row r="32" spans="1:23" ht="25">
      <c r="A32" s="1" t="s">
        <v>97</v>
      </c>
      <c r="B32" s="1"/>
      <c r="C32" s="1" t="s">
        <v>143</v>
      </c>
      <c r="D32" s="1" t="s">
        <v>135</v>
      </c>
      <c r="E32" s="1" t="s">
        <v>141</v>
      </c>
      <c r="F32" s="1" t="s">
        <v>145</v>
      </c>
      <c r="G32" s="1">
        <f>_xlfn.XLOOKUP(F32,'rank lookup'!$A$1:$A$21,'rank lookup'!$B$1:$B$21,,0)</f>
        <v>14</v>
      </c>
      <c r="H32" s="1" t="s">
        <v>207</v>
      </c>
      <c r="I32" s="19">
        <v>188</v>
      </c>
      <c r="J32" s="19">
        <v>156</v>
      </c>
      <c r="K32" s="5">
        <f t="shared" si="0"/>
        <v>44.137618832050705</v>
      </c>
      <c r="L32" s="4">
        <f t="shared" si="1"/>
        <v>74.015748031496059</v>
      </c>
      <c r="M32">
        <f t="shared" si="2"/>
        <v>6</v>
      </c>
      <c r="N32">
        <f t="shared" si="3"/>
        <v>2</v>
      </c>
      <c r="O32" t="str">
        <f t="shared" si="4"/>
        <v>6' 2"</v>
      </c>
      <c r="P32">
        <f t="shared" si="5"/>
        <v>344</v>
      </c>
      <c r="Q32">
        <f t="shared" si="6"/>
        <v>12</v>
      </c>
      <c r="R32">
        <f t="shared" si="6"/>
        <v>24</v>
      </c>
      <c r="S32">
        <f t="shared" si="6"/>
        <v>27</v>
      </c>
      <c r="T32">
        <f>_xlfn.XLOOKUP(A32,'January 2023 Data'!$A$4:$A$49,'January 2023 Data'!$H$4:$H$49,,0)</f>
        <v>189</v>
      </c>
      <c r="U32">
        <f t="shared" si="7"/>
        <v>-1</v>
      </c>
      <c r="V32" s="22" t="s">
        <v>228</v>
      </c>
      <c r="W32" t="str">
        <f t="shared" si="8"/>
        <v>Myogiryu, 5-8</v>
      </c>
    </row>
    <row r="33" spans="1:23" ht="25">
      <c r="A33" s="1" t="s">
        <v>101</v>
      </c>
      <c r="B33" s="1"/>
      <c r="C33" s="1" t="s">
        <v>145</v>
      </c>
      <c r="D33" s="1" t="s">
        <v>143</v>
      </c>
      <c r="E33" s="1" t="s">
        <v>143</v>
      </c>
      <c r="F33" s="1" t="s">
        <v>147</v>
      </c>
      <c r="G33" s="1">
        <f>_xlfn.XLOOKUP(F33,'rank lookup'!$A$1:$A$21,'rank lookup'!$B$1:$B$21,,0)</f>
        <v>15</v>
      </c>
      <c r="H33" s="1" t="s">
        <v>209</v>
      </c>
      <c r="I33" s="19">
        <v>183</v>
      </c>
      <c r="J33" s="19">
        <v>165</v>
      </c>
      <c r="K33" s="5">
        <f t="shared" si="0"/>
        <v>49.269909522529787</v>
      </c>
      <c r="L33" s="4">
        <f t="shared" si="1"/>
        <v>72.047244094488192</v>
      </c>
      <c r="M33">
        <f t="shared" si="2"/>
        <v>6</v>
      </c>
      <c r="N33">
        <f t="shared" si="3"/>
        <v>0</v>
      </c>
      <c r="O33" t="str">
        <f t="shared" si="4"/>
        <v>6' 0"</v>
      </c>
      <c r="P33">
        <f t="shared" si="5"/>
        <v>364</v>
      </c>
      <c r="Q33">
        <f t="shared" si="6"/>
        <v>29</v>
      </c>
      <c r="R33">
        <f t="shared" si="6"/>
        <v>16</v>
      </c>
      <c r="S33">
        <f t="shared" si="6"/>
        <v>14</v>
      </c>
      <c r="T33">
        <f>_xlfn.XLOOKUP(A33,'January 2023 Data'!$A$4:$A$49,'January 2023 Data'!$H$4:$H$49,,0)</f>
        <v>184</v>
      </c>
      <c r="U33">
        <f t="shared" si="7"/>
        <v>-1</v>
      </c>
      <c r="V33" s="22" t="s">
        <v>220</v>
      </c>
      <c r="W33" t="str">
        <f t="shared" si="8"/>
        <v>Takanosho, 7-6</v>
      </c>
    </row>
    <row r="34" spans="1:23" ht="25">
      <c r="A34" s="1" t="s">
        <v>166</v>
      </c>
      <c r="D34" t="s">
        <v>151</v>
      </c>
      <c r="E34" s="1" t="s">
        <v>151</v>
      </c>
      <c r="F34" s="1" t="s">
        <v>147</v>
      </c>
      <c r="G34" s="1">
        <f>_xlfn.XLOOKUP(F34,'rank lookup'!$A$1:$A$21,'rank lookup'!$B$1:$B$21,,0)</f>
        <v>15</v>
      </c>
      <c r="H34" s="1" t="s">
        <v>210</v>
      </c>
      <c r="I34" s="19">
        <v>192</v>
      </c>
      <c r="J34" s="19">
        <v>159</v>
      </c>
      <c r="K34" s="5">
        <f t="shared" si="0"/>
        <v>43.131510416666671</v>
      </c>
      <c r="L34" s="4">
        <f t="shared" si="1"/>
        <v>75.59055118110237</v>
      </c>
      <c r="M34">
        <f t="shared" si="2"/>
        <v>6</v>
      </c>
      <c r="N34">
        <f t="shared" si="3"/>
        <v>3.6</v>
      </c>
      <c r="O34" t="str">
        <f t="shared" si="4"/>
        <v>6' 3.6"</v>
      </c>
      <c r="P34">
        <f t="shared" si="5"/>
        <v>351</v>
      </c>
      <c r="Q34">
        <f t="shared" si="6"/>
        <v>3</v>
      </c>
      <c r="R34">
        <f t="shared" si="6"/>
        <v>22</v>
      </c>
      <c r="S34">
        <f t="shared" si="6"/>
        <v>30</v>
      </c>
      <c r="T34">
        <f>_xlfn.XLOOKUP(A34,'January 2023 Data'!$A$4:$A$49,'January 2023 Data'!$H$4:$H$49,,0)</f>
        <v>191</v>
      </c>
      <c r="U34">
        <f t="shared" si="7"/>
        <v>1</v>
      </c>
      <c r="V34" s="22" t="s">
        <v>226</v>
      </c>
      <c r="W34" t="str">
        <f t="shared" si="8"/>
        <v>Azumaryu, 3-10</v>
      </c>
    </row>
    <row r="35" spans="1:23">
      <c r="A35" s="1" t="s">
        <v>167</v>
      </c>
      <c r="D35" t="s">
        <v>152</v>
      </c>
      <c r="E35" t="s">
        <v>148</v>
      </c>
      <c r="F35" t="s">
        <v>148</v>
      </c>
      <c r="G35" s="1">
        <f>_xlfn.XLOOKUP(F35,'rank lookup'!$A$1:$A$21,'rank lookup'!$B$1:$B$21,,0)</f>
        <v>16</v>
      </c>
      <c r="I35" s="19">
        <v>193</v>
      </c>
      <c r="J35" s="19">
        <v>156</v>
      </c>
      <c r="K35" s="5">
        <f t="shared" si="0"/>
        <v>41.880318934736501</v>
      </c>
      <c r="L35" s="4">
        <f t="shared" si="1"/>
        <v>75.984251968503941</v>
      </c>
      <c r="M35">
        <f t="shared" si="2"/>
        <v>6</v>
      </c>
      <c r="N35">
        <f t="shared" si="3"/>
        <v>4</v>
      </c>
      <c r="O35" t="str">
        <f t="shared" si="4"/>
        <v>6' 4"</v>
      </c>
      <c r="P35">
        <f t="shared" si="5"/>
        <v>344</v>
      </c>
      <c r="Q35">
        <f t="shared" si="6"/>
        <v>2</v>
      </c>
      <c r="R35">
        <f t="shared" si="6"/>
        <v>24</v>
      </c>
      <c r="S35">
        <f t="shared" si="6"/>
        <v>34</v>
      </c>
      <c r="T35">
        <f>_xlfn.XLOOKUP(A35,'January 2023 Data'!$A$4:$A$49,'January 2023 Data'!$H$4:$H$49,,0)</f>
        <v>193</v>
      </c>
      <c r="U35">
        <f t="shared" si="7"/>
        <v>0</v>
      </c>
      <c r="V35" s="22" t="s">
        <v>228</v>
      </c>
      <c r="W35" t="str">
        <f t="shared" si="8"/>
        <v>Kagayaki, 5-8</v>
      </c>
    </row>
    <row r="36" spans="1:23">
      <c r="A36" s="1" t="s">
        <v>104</v>
      </c>
      <c r="B36" s="1"/>
      <c r="C36" s="1" t="s">
        <v>140</v>
      </c>
      <c r="D36" s="1" t="s">
        <v>142</v>
      </c>
      <c r="E36" s="1" t="s">
        <v>154</v>
      </c>
      <c r="F36" s="1" t="s">
        <v>148</v>
      </c>
      <c r="G36" s="1">
        <f>_xlfn.XLOOKUP(F36,'rank lookup'!$A$1:$A$21,'rank lookup'!$B$1:$B$21,,0)</f>
        <v>16</v>
      </c>
      <c r="H36" s="1"/>
      <c r="I36" s="19">
        <v>186</v>
      </c>
      <c r="J36" s="19">
        <v>171</v>
      </c>
      <c r="K36" s="5">
        <f t="shared" ref="K36:K53" si="10">J36/(I36*I36)*10000</f>
        <v>49.427679500520291</v>
      </c>
      <c r="L36" s="4">
        <f t="shared" ref="L36:L53" si="11">CONVERT(I36,"cm","in")</f>
        <v>73.228346456692918</v>
      </c>
      <c r="M36">
        <f t="shared" ref="M36:M53" si="12">_xlfn.FLOOR.MATH(L36/12)</f>
        <v>6</v>
      </c>
      <c r="N36">
        <f t="shared" ref="N36:N53" si="13">ROUND(L36-M36*12,1)</f>
        <v>1.2</v>
      </c>
      <c r="O36" t="str">
        <f t="shared" ref="O36:O53" si="14">M36&amp;"' "&amp;N36&amp;""""</f>
        <v>6' 1.2"</v>
      </c>
      <c r="P36">
        <f t="shared" ref="P36:P53" si="15">ROUND(CONVERT(J36,"kg","lbm"),0)</f>
        <v>377</v>
      </c>
      <c r="Q36">
        <f t="shared" si="6"/>
        <v>18</v>
      </c>
      <c r="R36">
        <f t="shared" si="6"/>
        <v>13</v>
      </c>
      <c r="S36">
        <f t="shared" si="6"/>
        <v>12</v>
      </c>
      <c r="T36">
        <f>_xlfn.XLOOKUP(A36,'January 2023 Data'!$A$4:$A$49,'January 2023 Data'!$H$4:$H$49,,0)</f>
        <v>186</v>
      </c>
      <c r="U36">
        <f t="shared" si="7"/>
        <v>0</v>
      </c>
      <c r="V36" s="22" t="s">
        <v>229</v>
      </c>
      <c r="W36" t="str">
        <f t="shared" si="8"/>
        <v>Takarafuji, 6-7</v>
      </c>
    </row>
    <row r="37" spans="1:23">
      <c r="A37" s="1" t="s">
        <v>122</v>
      </c>
      <c r="B37" s="1"/>
      <c r="C37" s="1" t="s">
        <v>143</v>
      </c>
      <c r="D37" s="1" t="s">
        <v>148</v>
      </c>
      <c r="E37" s="1" t="s">
        <v>150</v>
      </c>
      <c r="F37" s="1" t="s">
        <v>150</v>
      </c>
      <c r="G37" s="1">
        <f>_xlfn.XLOOKUP(F37,'rank lookup'!$A$1:$A$21,'rank lookup'!$B$1:$B$21,,0)</f>
        <v>17</v>
      </c>
      <c r="H37" s="1"/>
      <c r="I37" s="19">
        <v>176</v>
      </c>
      <c r="J37" s="19">
        <v>129</v>
      </c>
      <c r="K37" s="5">
        <f t="shared" si="10"/>
        <v>41.645144628099175</v>
      </c>
      <c r="L37" s="4">
        <f t="shared" si="11"/>
        <v>69.29133858267717</v>
      </c>
      <c r="M37">
        <f t="shared" si="12"/>
        <v>5</v>
      </c>
      <c r="N37">
        <f t="shared" si="13"/>
        <v>9.3000000000000007</v>
      </c>
      <c r="O37" t="str">
        <f t="shared" si="14"/>
        <v>5' 9.3"</v>
      </c>
      <c r="P37">
        <f t="shared" si="15"/>
        <v>284</v>
      </c>
      <c r="Q37">
        <f t="shared" si="6"/>
        <v>37</v>
      </c>
      <c r="R37">
        <f t="shared" si="6"/>
        <v>41</v>
      </c>
      <c r="S37">
        <f t="shared" si="6"/>
        <v>36</v>
      </c>
      <c r="T37">
        <f>_xlfn.XLOOKUP(A37,'January 2023 Data'!$A$4:$A$49,'January 2023 Data'!$H$4:$H$49,,0)</f>
        <v>176</v>
      </c>
      <c r="U37">
        <f t="shared" si="7"/>
        <v>0</v>
      </c>
      <c r="V37" s="22" t="s">
        <v>225</v>
      </c>
      <c r="W37" t="str">
        <f t="shared" si="8"/>
        <v>Kotoeko, 8-5</v>
      </c>
    </row>
    <row r="38" spans="1:23">
      <c r="A38" s="1" t="s">
        <v>188</v>
      </c>
      <c r="F38" t="s">
        <v>150</v>
      </c>
      <c r="G38" s="1">
        <f>_xlfn.XLOOKUP(F38,'rank lookup'!$A$1:$A$21,'rank lookup'!$B$1:$B$21,,0)</f>
        <v>17</v>
      </c>
      <c r="I38" s="19">
        <v>185</v>
      </c>
      <c r="J38" s="19">
        <v>189</v>
      </c>
      <c r="K38" s="5">
        <f t="shared" si="10"/>
        <v>55.22279035792549</v>
      </c>
      <c r="L38" s="4">
        <f t="shared" si="11"/>
        <v>72.834645669291348</v>
      </c>
      <c r="M38">
        <f t="shared" si="12"/>
        <v>6</v>
      </c>
      <c r="N38">
        <f t="shared" si="13"/>
        <v>0.8</v>
      </c>
      <c r="O38" t="str">
        <f t="shared" si="14"/>
        <v>6' 0.8"</v>
      </c>
      <c r="P38">
        <f t="shared" si="15"/>
        <v>417</v>
      </c>
      <c r="Q38">
        <f t="shared" si="6"/>
        <v>21</v>
      </c>
      <c r="R38">
        <f t="shared" si="6"/>
        <v>3</v>
      </c>
      <c r="S38">
        <f t="shared" si="6"/>
        <v>3</v>
      </c>
      <c r="T38" t="e">
        <f>_xlfn.XLOOKUP(A38,'January 2023 Data'!$A$4:$A$49,'January 2023 Data'!$H$4:$H$49,,0)</f>
        <v>#N/A</v>
      </c>
      <c r="U38" t="e">
        <f t="shared" si="7"/>
        <v>#N/A</v>
      </c>
      <c r="V38" s="22" t="s">
        <v>225</v>
      </c>
      <c r="W38" t="str">
        <f t="shared" si="8"/>
        <v>Daishoho, 8-5</v>
      </c>
    </row>
    <row r="39" spans="1:23">
      <c r="A39" s="1" t="s">
        <v>189</v>
      </c>
      <c r="F39" t="s">
        <v>151</v>
      </c>
      <c r="G39" s="1">
        <f>_xlfn.XLOOKUP(F39,'rank lookup'!$A$1:$A$21,'rank lookup'!$B$1:$B$21,,0)</f>
        <v>18</v>
      </c>
      <c r="I39" s="19">
        <v>192</v>
      </c>
      <c r="J39" s="19">
        <v>174</v>
      </c>
      <c r="K39" s="5">
        <f t="shared" si="10"/>
        <v>47.200520833333329</v>
      </c>
      <c r="L39" s="4">
        <f t="shared" si="11"/>
        <v>75.59055118110237</v>
      </c>
      <c r="M39">
        <f t="shared" si="12"/>
        <v>6</v>
      </c>
      <c r="N39">
        <f t="shared" si="13"/>
        <v>3.6</v>
      </c>
      <c r="O39" t="str">
        <f t="shared" si="14"/>
        <v>6' 3.6"</v>
      </c>
      <c r="P39">
        <f t="shared" si="15"/>
        <v>384</v>
      </c>
      <c r="Q39">
        <f t="shared" si="6"/>
        <v>3</v>
      </c>
      <c r="R39">
        <f t="shared" si="6"/>
        <v>10</v>
      </c>
      <c r="S39">
        <f t="shared" si="6"/>
        <v>21</v>
      </c>
      <c r="T39" t="e">
        <f>_xlfn.XLOOKUP(A39,'January 2023 Data'!$A$4:$A$49,'January 2023 Data'!$H$4:$H$49,,0)</f>
        <v>#N/A</v>
      </c>
      <c r="U39" t="e">
        <f t="shared" si="7"/>
        <v>#N/A</v>
      </c>
      <c r="V39" s="22" t="s">
        <v>221</v>
      </c>
      <c r="W39" t="str">
        <f t="shared" si="8"/>
        <v>Kinbozan, 9-4</v>
      </c>
    </row>
    <row r="40" spans="1:23">
      <c r="A40" s="1" t="s">
        <v>190</v>
      </c>
      <c r="F40" t="s">
        <v>151</v>
      </c>
      <c r="G40" s="1">
        <f>_xlfn.XLOOKUP(F40,'rank lookup'!$A$1:$A$21,'rank lookup'!$B$1:$B$21,,0)</f>
        <v>18</v>
      </c>
      <c r="I40" s="19">
        <v>171</v>
      </c>
      <c r="J40" s="19">
        <v>171</v>
      </c>
      <c r="K40" s="5">
        <f t="shared" si="10"/>
        <v>58.479532163742689</v>
      </c>
      <c r="L40" s="4">
        <f t="shared" si="11"/>
        <v>67.322834645669289</v>
      </c>
      <c r="M40">
        <f t="shared" si="12"/>
        <v>5</v>
      </c>
      <c r="N40">
        <f t="shared" si="13"/>
        <v>7.3</v>
      </c>
      <c r="O40" t="str">
        <f t="shared" si="14"/>
        <v>5' 7.3"</v>
      </c>
      <c r="P40">
        <f t="shared" si="15"/>
        <v>377</v>
      </c>
      <c r="Q40">
        <f t="shared" si="6"/>
        <v>41</v>
      </c>
      <c r="R40">
        <f t="shared" si="6"/>
        <v>13</v>
      </c>
      <c r="S40">
        <f t="shared" si="6"/>
        <v>1</v>
      </c>
      <c r="T40" t="e">
        <f>_xlfn.XLOOKUP(A40,'January 2023 Data'!$A$4:$A$49,'January 2023 Data'!$H$4:$H$49,,0)</f>
        <v>#N/A</v>
      </c>
      <c r="U40" t="e">
        <f t="shared" si="7"/>
        <v>#N/A</v>
      </c>
      <c r="V40" s="22" t="s">
        <v>224</v>
      </c>
      <c r="W40" t="str">
        <f t="shared" si="8"/>
        <v>Bushozan, 4-9</v>
      </c>
    </row>
    <row r="41" spans="1:23" ht="25">
      <c r="A41" s="1" t="s">
        <v>88</v>
      </c>
      <c r="B41" s="1"/>
      <c r="C41" s="1" t="s">
        <v>150</v>
      </c>
      <c r="D41" s="1" t="s">
        <v>150</v>
      </c>
      <c r="E41" s="1" t="s">
        <v>142</v>
      </c>
      <c r="F41" s="1" t="s">
        <v>152</v>
      </c>
      <c r="G41" s="1">
        <f>_xlfn.XLOOKUP(F41,'rank lookup'!$A$1:$A$21,'rank lookup'!$B$1:$B$21,,0)</f>
        <v>19</v>
      </c>
      <c r="H41" s="1" t="s">
        <v>211</v>
      </c>
      <c r="I41" s="19">
        <v>190</v>
      </c>
      <c r="J41" s="19">
        <v>178</v>
      </c>
      <c r="K41" s="5">
        <f t="shared" si="10"/>
        <v>49.307479224376735</v>
      </c>
      <c r="L41" s="4">
        <f t="shared" si="11"/>
        <v>74.803149606299215</v>
      </c>
      <c r="M41">
        <f t="shared" si="12"/>
        <v>6</v>
      </c>
      <c r="N41">
        <f t="shared" si="13"/>
        <v>2.8</v>
      </c>
      <c r="O41" t="str">
        <f t="shared" si="14"/>
        <v>6' 2.8"</v>
      </c>
      <c r="P41">
        <f t="shared" si="15"/>
        <v>392</v>
      </c>
      <c r="Q41">
        <f t="shared" si="6"/>
        <v>8</v>
      </c>
      <c r="R41">
        <f t="shared" si="6"/>
        <v>6</v>
      </c>
      <c r="S41">
        <f t="shared" si="6"/>
        <v>13</v>
      </c>
      <c r="T41">
        <f>_xlfn.XLOOKUP(A41,'January 2023 Data'!$A$4:$A$49,'January 2023 Data'!$H$4:$H$49,,0)</f>
        <v>189</v>
      </c>
      <c r="U41">
        <f t="shared" si="7"/>
        <v>1</v>
      </c>
      <c r="V41" s="22" t="s">
        <v>229</v>
      </c>
      <c r="W41" t="str">
        <f t="shared" si="8"/>
        <v>Oho, 6-7</v>
      </c>
    </row>
    <row r="42" spans="1:23">
      <c r="A42" s="1" t="s">
        <v>191</v>
      </c>
      <c r="F42" t="s">
        <v>152</v>
      </c>
      <c r="G42" s="1">
        <f>_xlfn.XLOOKUP(F42,'rank lookup'!$A$1:$A$21,'rank lookup'!$B$1:$B$21,,0)</f>
        <v>19</v>
      </c>
      <c r="I42" s="19">
        <v>204</v>
      </c>
      <c r="J42" s="19">
        <v>177</v>
      </c>
      <c r="K42" s="5">
        <f t="shared" si="10"/>
        <v>42.531718569780857</v>
      </c>
      <c r="L42" s="4">
        <f t="shared" si="11"/>
        <v>80.314960629921259</v>
      </c>
      <c r="M42">
        <f t="shared" si="12"/>
        <v>6</v>
      </c>
      <c r="N42">
        <f t="shared" si="13"/>
        <v>8.3000000000000007</v>
      </c>
      <c r="O42" t="str">
        <f t="shared" si="14"/>
        <v>6' 8.3"</v>
      </c>
      <c r="P42">
        <f t="shared" si="15"/>
        <v>390</v>
      </c>
      <c r="Q42">
        <f t="shared" si="6"/>
        <v>1</v>
      </c>
      <c r="R42">
        <f t="shared" si="6"/>
        <v>7</v>
      </c>
      <c r="S42">
        <f t="shared" si="6"/>
        <v>33</v>
      </c>
      <c r="T42" t="e">
        <f>_xlfn.XLOOKUP(A42,'January 2023 Data'!$A$4:$A$49,'January 2023 Data'!$H$4:$H$49,,0)</f>
        <v>#N/A</v>
      </c>
      <c r="U42" t="e">
        <f t="shared" si="7"/>
        <v>#N/A</v>
      </c>
      <c r="V42" s="22" t="s">
        <v>220</v>
      </c>
      <c r="W42" t="str">
        <f t="shared" si="8"/>
        <v>Hokuseiho, 7-6</v>
      </c>
    </row>
    <row r="43" spans="1:23" ht="25">
      <c r="A43" s="1" t="s">
        <v>110</v>
      </c>
      <c r="B43" s="1"/>
      <c r="C43" s="1" t="s">
        <v>151</v>
      </c>
      <c r="D43" s="1" t="s">
        <v>145</v>
      </c>
      <c r="E43" s="1" t="s">
        <v>147</v>
      </c>
      <c r="F43" s="1" t="s">
        <v>154</v>
      </c>
      <c r="G43" s="1">
        <f>_xlfn.XLOOKUP(F43,'rank lookup'!$A$1:$A$21,'rank lookup'!$B$1:$B$21,,0)</f>
        <v>20</v>
      </c>
      <c r="H43" s="1" t="s">
        <v>205</v>
      </c>
      <c r="I43" s="19">
        <v>184</v>
      </c>
      <c r="J43" s="19">
        <v>137</v>
      </c>
      <c r="K43" s="5">
        <f t="shared" si="10"/>
        <v>40.465500945179578</v>
      </c>
      <c r="L43" s="4">
        <f t="shared" si="11"/>
        <v>72.440944881889763</v>
      </c>
      <c r="M43">
        <f t="shared" si="12"/>
        <v>6</v>
      </c>
      <c r="N43">
        <f t="shared" si="13"/>
        <v>0.4</v>
      </c>
      <c r="O43" t="str">
        <f t="shared" si="14"/>
        <v>6' 0.4"</v>
      </c>
      <c r="P43">
        <f t="shared" si="15"/>
        <v>302</v>
      </c>
      <c r="Q43">
        <f t="shared" si="6"/>
        <v>24</v>
      </c>
      <c r="R43">
        <f t="shared" si="6"/>
        <v>37</v>
      </c>
      <c r="S43">
        <f t="shared" si="6"/>
        <v>39</v>
      </c>
      <c r="T43">
        <f>_xlfn.XLOOKUP(A43,'January 2023 Data'!$A$4:$A$49,'January 2023 Data'!$H$4:$H$49,,0)</f>
        <v>183</v>
      </c>
      <c r="U43">
        <f t="shared" si="7"/>
        <v>1</v>
      </c>
      <c r="V43" s="22" t="s">
        <v>225</v>
      </c>
      <c r="W43" t="str">
        <f t="shared" si="8"/>
        <v>Chiyoshoma, 8-5</v>
      </c>
    </row>
    <row r="44" spans="1:23" ht="25">
      <c r="A44" s="1" t="s">
        <v>108</v>
      </c>
      <c r="B44" s="1"/>
      <c r="C44" s="1" t="s">
        <v>152</v>
      </c>
      <c r="D44" s="1" t="s">
        <v>170</v>
      </c>
      <c r="E44" s="1" t="s">
        <v>152</v>
      </c>
      <c r="F44" s="1" t="s">
        <v>154</v>
      </c>
      <c r="G44" s="1">
        <f>_xlfn.XLOOKUP(F44,'rank lookup'!$A$1:$A$21,'rank lookup'!$B$1:$B$21,,0)</f>
        <v>20</v>
      </c>
      <c r="H44" s="1" t="s">
        <v>202</v>
      </c>
      <c r="I44" s="19">
        <v>185</v>
      </c>
      <c r="J44" s="19">
        <v>200</v>
      </c>
      <c r="K44" s="5">
        <f t="shared" si="10"/>
        <v>58.436815193571952</v>
      </c>
      <c r="L44" s="4">
        <f t="shared" si="11"/>
        <v>72.834645669291348</v>
      </c>
      <c r="M44">
        <f t="shared" si="12"/>
        <v>6</v>
      </c>
      <c r="N44">
        <f t="shared" si="13"/>
        <v>0.8</v>
      </c>
      <c r="O44" t="str">
        <f t="shared" si="14"/>
        <v>6' 0.8"</v>
      </c>
      <c r="P44">
        <f t="shared" si="15"/>
        <v>441</v>
      </c>
      <c r="Q44">
        <f t="shared" si="6"/>
        <v>21</v>
      </c>
      <c r="R44">
        <f t="shared" si="6"/>
        <v>1</v>
      </c>
      <c r="S44">
        <f t="shared" si="6"/>
        <v>2</v>
      </c>
      <c r="T44">
        <f>_xlfn.XLOOKUP(A44,'January 2023 Data'!$A$4:$A$49,'January 2023 Data'!$H$4:$H$49,,0)</f>
        <v>184</v>
      </c>
      <c r="U44">
        <f t="shared" si="7"/>
        <v>1</v>
      </c>
      <c r="V44" s="22" t="s">
        <v>220</v>
      </c>
      <c r="W44" t="str">
        <f t="shared" si="8"/>
        <v>Tsurugisho, 7-6</v>
      </c>
    </row>
    <row r="45" spans="1:23" ht="25">
      <c r="A45" t="s">
        <v>153</v>
      </c>
      <c r="C45" s="1" t="s">
        <v>154</v>
      </c>
      <c r="D45" s="1" t="s">
        <v>170</v>
      </c>
      <c r="E45" s="1" t="s">
        <v>152</v>
      </c>
      <c r="F45" s="1" t="s">
        <v>186</v>
      </c>
      <c r="G45" s="1">
        <f>_xlfn.XLOOKUP(F45,'rank lookup'!$A$1:$A$21,'rank lookup'!$B$1:$B$21,,0)</f>
        <v>21</v>
      </c>
      <c r="H45" s="1" t="s">
        <v>212</v>
      </c>
      <c r="I45" s="19">
        <v>189</v>
      </c>
      <c r="J45" s="19">
        <v>194</v>
      </c>
      <c r="K45" s="5">
        <f t="shared" si="10"/>
        <v>54.309789759525202</v>
      </c>
      <c r="L45" s="4">
        <f t="shared" si="11"/>
        <v>74.409448818897644</v>
      </c>
      <c r="M45">
        <f t="shared" si="12"/>
        <v>6</v>
      </c>
      <c r="N45">
        <f t="shared" si="13"/>
        <v>2.4</v>
      </c>
      <c r="O45" t="str">
        <f t="shared" si="14"/>
        <v>6' 2.4"</v>
      </c>
      <c r="P45">
        <f t="shared" si="15"/>
        <v>428</v>
      </c>
      <c r="Q45">
        <f t="shared" si="6"/>
        <v>9</v>
      </c>
      <c r="R45">
        <f t="shared" si="6"/>
        <v>2</v>
      </c>
      <c r="S45">
        <f t="shared" si="6"/>
        <v>4</v>
      </c>
      <c r="T45">
        <f>_xlfn.XLOOKUP(A45,'January 2023 Data'!$A$4:$A$49,'January 2023 Data'!$H$4:$H$49,,0)</f>
        <v>190</v>
      </c>
      <c r="U45">
        <f t="shared" si="7"/>
        <v>-1</v>
      </c>
      <c r="V45" s="22" t="s">
        <v>220</v>
      </c>
      <c r="W45" t="str">
        <f t="shared" si="8"/>
        <v>Mitoryu, 7-6</v>
      </c>
    </row>
    <row r="46" spans="1:23" ht="25">
      <c r="A46" s="1" t="s">
        <v>89</v>
      </c>
      <c r="B46" s="1">
        <v>1</v>
      </c>
      <c r="C46" s="1" t="s">
        <v>42</v>
      </c>
      <c r="D46" s="1" t="s">
        <v>136</v>
      </c>
      <c r="E46" s="1" t="s">
        <v>135</v>
      </c>
      <c r="F46" s="1" t="s">
        <v>170</v>
      </c>
      <c r="G46" s="1" t="e">
        <f>_xlfn.XLOOKUP(F46,'rank lookup'!$A$1:$A$21,'rank lookup'!$B$1:$B$21,,0)</f>
        <v>#N/A</v>
      </c>
      <c r="H46" s="1" t="s">
        <v>208</v>
      </c>
      <c r="I46" s="19">
        <v>191</v>
      </c>
      <c r="J46" s="19">
        <v>219</v>
      </c>
      <c r="K46" s="5">
        <f t="shared" si="10"/>
        <v>60.031249143389715</v>
      </c>
      <c r="L46" s="4">
        <f t="shared" si="11"/>
        <v>75.196850393700785</v>
      </c>
      <c r="M46">
        <f t="shared" si="12"/>
        <v>6</v>
      </c>
      <c r="N46">
        <f t="shared" si="13"/>
        <v>3.2</v>
      </c>
      <c r="O46" t="str">
        <f t="shared" si="14"/>
        <v>6' 3.2"</v>
      </c>
      <c r="P46">
        <f t="shared" si="15"/>
        <v>483</v>
      </c>
      <c r="T46">
        <f>_xlfn.XLOOKUP(A46,'January 2023 Data'!$A$4:$A$49,'January 2023 Data'!$H$4:$H$49,,0)</f>
        <v>190</v>
      </c>
      <c r="U46">
        <f>I46-T46</f>
        <v>1</v>
      </c>
      <c r="W46" t="str">
        <f t="shared" si="8"/>
        <v xml:space="preserve">Ichinojo, </v>
      </c>
    </row>
    <row r="47" spans="1:23">
      <c r="A47" s="1" t="s">
        <v>87</v>
      </c>
      <c r="B47" s="1">
        <v>1</v>
      </c>
      <c r="C47" s="1" t="s">
        <v>142</v>
      </c>
      <c r="D47" s="1" t="s">
        <v>142</v>
      </c>
      <c r="E47" s="1" t="s">
        <v>147</v>
      </c>
      <c r="F47" s="1" t="s">
        <v>192</v>
      </c>
      <c r="G47" s="1" t="e">
        <f>_xlfn.XLOOKUP(F47,'rank lookup'!$A$1:$A$21,'rank lookup'!$B$1:$B$21,,0)</f>
        <v>#N/A</v>
      </c>
      <c r="H47" s="1"/>
      <c r="I47" s="19">
        <v>192</v>
      </c>
      <c r="J47" s="19">
        <v>189</v>
      </c>
      <c r="K47" s="5">
        <f t="shared" si="10"/>
        <v>51.26953125</v>
      </c>
      <c r="L47" s="4">
        <f t="shared" si="11"/>
        <v>75.59055118110237</v>
      </c>
      <c r="M47">
        <f t="shared" si="12"/>
        <v>6</v>
      </c>
      <c r="N47">
        <f t="shared" si="13"/>
        <v>3.6</v>
      </c>
      <c r="O47" t="str">
        <f t="shared" si="14"/>
        <v>6' 3.6"</v>
      </c>
      <c r="P47">
        <f t="shared" si="15"/>
        <v>417</v>
      </c>
      <c r="T47">
        <f>_xlfn.XLOOKUP(A47,'January 2023 Data'!$A$4:$A$49,'January 2023 Data'!$H$4:$H$49,,0)</f>
        <v>192</v>
      </c>
      <c r="U47">
        <f t="shared" si="7"/>
        <v>0</v>
      </c>
      <c r="W47" t="str">
        <f t="shared" si="8"/>
        <v xml:space="preserve">Tochinoshin, </v>
      </c>
    </row>
    <row r="48" spans="1:23">
      <c r="A48" s="1" t="s">
        <v>90</v>
      </c>
      <c r="B48" s="1"/>
      <c r="C48" s="1" t="s">
        <v>148</v>
      </c>
      <c r="D48" s="1" t="s">
        <v>150</v>
      </c>
      <c r="E48" s="1" t="s">
        <v>148</v>
      </c>
      <c r="F48" s="1" t="s">
        <v>179</v>
      </c>
      <c r="G48" s="1" t="e">
        <f>_xlfn.XLOOKUP(F48,'rank lookup'!$A$1:$A$21,'rank lookup'!$B$1:$B$21,,0)</f>
        <v>#N/A</v>
      </c>
      <c r="H48" s="1" t="s">
        <v>193</v>
      </c>
      <c r="I48" s="19">
        <v>189</v>
      </c>
      <c r="J48" s="19">
        <v>161</v>
      </c>
      <c r="K48" s="5">
        <f t="shared" si="10"/>
        <v>45.071526553008034</v>
      </c>
      <c r="L48" s="4">
        <f t="shared" si="11"/>
        <v>74.409448818897644</v>
      </c>
      <c r="M48">
        <f t="shared" si="12"/>
        <v>6</v>
      </c>
      <c r="N48">
        <f t="shared" si="13"/>
        <v>2.4</v>
      </c>
      <c r="O48" t="str">
        <f t="shared" si="14"/>
        <v>6' 2.4"</v>
      </c>
      <c r="P48">
        <f t="shared" si="15"/>
        <v>355</v>
      </c>
      <c r="T48">
        <f>_xlfn.XLOOKUP(A48,'January 2023 Data'!$A$4:$A$49,'January 2023 Data'!$H$4:$H$49,,0)</f>
        <v>189</v>
      </c>
      <c r="U48">
        <f t="shared" si="7"/>
        <v>0</v>
      </c>
      <c r="W48" t="str">
        <f t="shared" si="8"/>
        <v xml:space="preserve">Okinoumi, </v>
      </c>
    </row>
    <row r="49" spans="1:23" ht="25">
      <c r="A49" t="s">
        <v>119</v>
      </c>
      <c r="E49" s="1" t="s">
        <v>154</v>
      </c>
      <c r="F49" s="1" t="s">
        <v>169</v>
      </c>
      <c r="G49" s="1" t="e">
        <f>_xlfn.XLOOKUP(F49,'rank lookup'!$A$1:$A$21,'rank lookup'!$B$1:$B$21,,0)</f>
        <v>#N/A</v>
      </c>
      <c r="H49" s="1" t="s">
        <v>213</v>
      </c>
      <c r="I49" s="19">
        <v>178</v>
      </c>
      <c r="J49" s="19">
        <v>166</v>
      </c>
      <c r="K49" s="5">
        <f t="shared" si="10"/>
        <v>52.392374700164119</v>
      </c>
      <c r="L49" s="4">
        <f t="shared" si="11"/>
        <v>70.078740157480311</v>
      </c>
      <c r="M49">
        <f t="shared" si="12"/>
        <v>5</v>
      </c>
      <c r="N49">
        <f t="shared" si="13"/>
        <v>10.1</v>
      </c>
      <c r="O49" t="str">
        <f t="shared" si="14"/>
        <v>5' 10.1"</v>
      </c>
      <c r="P49">
        <f t="shared" si="15"/>
        <v>366</v>
      </c>
      <c r="T49">
        <f>_xlfn.XLOOKUP(A49,'January 2023 Data'!$A$4:$A$49,'January 2023 Data'!$H$4:$H$49,,0)</f>
        <v>177</v>
      </c>
      <c r="U49">
        <f t="shared" si="7"/>
        <v>1</v>
      </c>
      <c r="W49" t="str">
        <f t="shared" si="8"/>
        <v xml:space="preserve">Chiyomaru, </v>
      </c>
    </row>
    <row r="50" spans="1:23">
      <c r="A50" s="1" t="s">
        <v>113</v>
      </c>
      <c r="B50" s="1"/>
      <c r="C50" s="1" t="s">
        <v>147</v>
      </c>
      <c r="D50" s="1" t="s">
        <v>148</v>
      </c>
      <c r="E50" s="1" t="s">
        <v>179</v>
      </c>
      <c r="F50" s="1"/>
      <c r="G50" s="1" t="e">
        <f>_xlfn.XLOOKUP(F50,'rank lookup'!$A$1:$A$21,'rank lookup'!$B$1:$B$21,,0)</f>
        <v>#N/A</v>
      </c>
      <c r="H50" s="1"/>
      <c r="I50" s="19">
        <v>181</v>
      </c>
      <c r="J50" s="19">
        <v>189</v>
      </c>
      <c r="K50" s="5">
        <f t="shared" si="10"/>
        <v>57.690546686609082</v>
      </c>
      <c r="L50" s="4">
        <f t="shared" si="11"/>
        <v>71.259842519685037</v>
      </c>
      <c r="M50">
        <f t="shared" si="12"/>
        <v>5</v>
      </c>
      <c r="N50">
        <f t="shared" si="13"/>
        <v>11.3</v>
      </c>
      <c r="O50" t="str">
        <f t="shared" si="14"/>
        <v>5' 11.3"</v>
      </c>
      <c r="P50">
        <f t="shared" si="15"/>
        <v>417</v>
      </c>
      <c r="T50">
        <f>_xlfn.XLOOKUP(A50,'January 2023 Data'!$A$4:$A$49,'January 2023 Data'!$H$4:$H$49,,0)</f>
        <v>181</v>
      </c>
      <c r="U50">
        <f t="shared" si="7"/>
        <v>0</v>
      </c>
      <c r="W50" t="str">
        <f t="shared" si="8"/>
        <v xml:space="preserve">Chiyotairyu, </v>
      </c>
    </row>
    <row r="51" spans="1:23">
      <c r="A51" s="1" t="s">
        <v>168</v>
      </c>
      <c r="D51" t="s">
        <v>152</v>
      </c>
      <c r="E51" s="1" t="s">
        <v>170</v>
      </c>
      <c r="F51" s="1" t="s">
        <v>187</v>
      </c>
      <c r="G51" s="1" t="e">
        <f>_xlfn.XLOOKUP(F51,'rank lookup'!$A$1:$A$21,'rank lookup'!$B$1:$B$21,,0)</f>
        <v>#N/A</v>
      </c>
      <c r="I51" s="19">
        <v>185</v>
      </c>
      <c r="J51" s="19">
        <v>174</v>
      </c>
      <c r="K51" s="5">
        <f t="shared" si="10"/>
        <v>50.840029218407601</v>
      </c>
      <c r="L51" s="4">
        <f t="shared" si="11"/>
        <v>72.834645669291348</v>
      </c>
      <c r="M51">
        <f t="shared" si="12"/>
        <v>6</v>
      </c>
      <c r="N51">
        <f t="shared" si="13"/>
        <v>0.8</v>
      </c>
      <c r="O51" t="str">
        <f t="shared" si="14"/>
        <v>6' 0.8"</v>
      </c>
      <c r="P51">
        <f t="shared" si="15"/>
        <v>384</v>
      </c>
      <c r="T51">
        <f>_xlfn.XLOOKUP(A51,'January 2023 Data'!$A$4:$A$49,'January 2023 Data'!$H$4:$H$49,,0)</f>
        <v>185</v>
      </c>
      <c r="U51">
        <f t="shared" si="7"/>
        <v>0</v>
      </c>
      <c r="W51" t="str">
        <f t="shared" si="8"/>
        <v xml:space="preserve">Atamifuji, </v>
      </c>
    </row>
    <row r="52" spans="1:23">
      <c r="A52" s="1" t="s">
        <v>126</v>
      </c>
      <c r="B52" s="1"/>
      <c r="C52" s="1" t="s">
        <v>152</v>
      </c>
      <c r="D52" s="1" t="s">
        <v>154</v>
      </c>
      <c r="E52" s="1" t="s">
        <v>180</v>
      </c>
      <c r="F52" s="1" t="s">
        <v>194</v>
      </c>
      <c r="G52" s="1" t="e">
        <f>_xlfn.XLOOKUP(F52,'rank lookup'!$A$1:$A$21,'rank lookup'!$B$1:$B$21,,0)</f>
        <v>#N/A</v>
      </c>
      <c r="H52" s="1"/>
      <c r="I52" s="19">
        <v>169</v>
      </c>
      <c r="J52" s="19">
        <v>107</v>
      </c>
      <c r="K52" s="5">
        <f t="shared" si="10"/>
        <v>37.463674241098005</v>
      </c>
      <c r="L52" s="4">
        <f t="shared" si="11"/>
        <v>66.535433070866134</v>
      </c>
      <c r="M52">
        <f t="shared" si="12"/>
        <v>5</v>
      </c>
      <c r="N52">
        <f t="shared" si="13"/>
        <v>6.5</v>
      </c>
      <c r="O52" t="str">
        <f t="shared" si="14"/>
        <v>5' 6.5"</v>
      </c>
      <c r="P52">
        <f t="shared" si="15"/>
        <v>236</v>
      </c>
      <c r="T52">
        <f>_xlfn.XLOOKUP(A52,'January 2023 Data'!$A$4:$A$49,'January 2023 Data'!$H$4:$H$49,,0)</f>
        <v>169</v>
      </c>
      <c r="U52">
        <f t="shared" si="7"/>
        <v>0</v>
      </c>
      <c r="W52" t="str">
        <f t="shared" si="8"/>
        <v xml:space="preserve">Terutsuyoshi, </v>
      </c>
    </row>
    <row r="53" spans="1:23">
      <c r="A53" s="1" t="s">
        <v>107</v>
      </c>
      <c r="B53" s="1"/>
      <c r="C53" s="1" t="s">
        <v>151</v>
      </c>
      <c r="D53" s="1" t="s">
        <v>169</v>
      </c>
      <c r="E53" s="1" t="s">
        <v>179</v>
      </c>
      <c r="F53" s="1"/>
      <c r="G53" s="1" t="e">
        <f>_xlfn.XLOOKUP(F53,'rank lookup'!$A$1:$A$21,'rank lookup'!$B$1:$B$21,,0)</f>
        <v>#N/A</v>
      </c>
      <c r="H53" s="1"/>
      <c r="I53" s="19">
        <v>185</v>
      </c>
      <c r="J53" s="19">
        <v>181</v>
      </c>
      <c r="K53" s="5">
        <f t="shared" si="10"/>
        <v>52.885317750182615</v>
      </c>
      <c r="L53" s="4">
        <f t="shared" si="11"/>
        <v>72.834645669291348</v>
      </c>
      <c r="M53">
        <f t="shared" si="12"/>
        <v>6</v>
      </c>
      <c r="N53">
        <f t="shared" si="13"/>
        <v>0.8</v>
      </c>
      <c r="O53" t="str">
        <f t="shared" si="14"/>
        <v>6' 0.8"</v>
      </c>
      <c r="P53">
        <f t="shared" si="15"/>
        <v>399</v>
      </c>
      <c r="T53">
        <f>_xlfn.XLOOKUP(A53,'January 2023 Data'!$A$4:$A$49,'January 2023 Data'!$H$4:$H$49,,0)</f>
        <v>185</v>
      </c>
      <c r="U53">
        <f t="shared" si="7"/>
        <v>0</v>
      </c>
      <c r="W53" t="str">
        <f t="shared" si="8"/>
        <v xml:space="preserve">Yutakayama, </v>
      </c>
    </row>
  </sheetData>
  <autoFilter ref="A3:P38" xr:uid="{7067DD38-AD06-4250-9520-A2F29B57D9C0}">
    <sortState xmlns:xlrd2="http://schemas.microsoft.com/office/spreadsheetml/2017/richdata2" ref="A4:P53">
      <sortCondition ref="G3:G38"/>
    </sortState>
  </autoFilter>
  <hyperlinks>
    <hyperlink ref="C2" r:id="rId1" xr:uid="{987FCF13-1964-45BC-85C8-B147D9B22A9E}"/>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Charts</vt:lpstr>
      </vt:variant>
      <vt:variant>
        <vt:i4>12</vt:i4>
      </vt:variant>
    </vt:vector>
  </HeadingPairs>
  <TitlesOfParts>
    <vt:vector size="24" baseType="lpstr">
      <vt:lpstr>September 2022 Data</vt:lpstr>
      <vt:lpstr>January 2023 Data</vt:lpstr>
      <vt:lpstr>November 2022 Data</vt:lpstr>
      <vt:lpstr>rank lookup</vt:lpstr>
      <vt:lpstr>Jan 2022 Data</vt:lpstr>
      <vt:lpstr>Jan 2022 Graph Prep</vt:lpstr>
      <vt:lpstr>Original Graph Dec 24 2021</vt:lpstr>
      <vt:lpstr>May 2023 Data</vt:lpstr>
      <vt:lpstr>March 2023 Data</vt:lpstr>
      <vt:lpstr>July 2023 Data</vt:lpstr>
      <vt:lpstr>September 2023 Data</vt:lpstr>
      <vt:lpstr>Documentation Information</vt:lpstr>
      <vt:lpstr>Makuuchi Scatterplot Jan 2022</vt:lpstr>
      <vt:lpstr>BMI Histogram</vt:lpstr>
      <vt:lpstr>Makuuchi Sept 2022</vt:lpstr>
      <vt:lpstr>Makuuchi Nov 2022</vt:lpstr>
      <vt:lpstr>Makuuchi Nov 2022 DISPLAY</vt:lpstr>
      <vt:lpstr>Makuuchi Jan 2023</vt:lpstr>
      <vt:lpstr>Weight change Nov 22 - Jan 23</vt:lpstr>
      <vt:lpstr>Makuuchi March 2023</vt:lpstr>
      <vt:lpstr>Makuuchi May 2023</vt:lpstr>
      <vt:lpstr>Makuuchi July 2023</vt:lpstr>
      <vt:lpstr>Makuuchi Sept 2023</vt:lpstr>
      <vt:lpstr>Makuuchi Sept 2023 plus Trump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Pat Campbell</dc:creator>
  <cp:lastModifiedBy>Mary Pat Campbell</cp:lastModifiedBy>
  <dcterms:created xsi:type="dcterms:W3CDTF">2022-01-05T16:28:32Z</dcterms:created>
  <dcterms:modified xsi:type="dcterms:W3CDTF">2023-08-27T22:33:15Z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{1867E8E5-0BA6-4B5B-99AF-AC2AC410D387}</vt:lpwstr>
  </property>
</Properties>
</file>